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mollick\Documents\cee609\iMapInvasives\Output\"/>
    </mc:Choice>
  </mc:AlternateContent>
  <xr:revisionPtr revIDLastSave="0" documentId="8_{2DC82460-FA18-4269-8B5D-1550AA85C833}" xr6:coauthVersionLast="47" xr6:coauthVersionMax="47" xr10:uidLastSave="{00000000-0000-0000-0000-000000000000}"/>
  <bookViews>
    <workbookView xWindow="-108" yWindow="-108" windowWidth="23256" windowHeight="12456" xr2:uid="{52036B23-4784-415A-9E37-8FA6BE132708}"/>
  </bookViews>
  <sheets>
    <sheet name="Output_Spotted_lanternfly_500_s" sheetId="1" r:id="rId1"/>
  </sheets>
  <calcPr calcId="0"/>
</workbook>
</file>

<file path=xl/calcChain.xml><?xml version="1.0" encoding="utf-8"?>
<calcChain xmlns="http://schemas.openxmlformats.org/spreadsheetml/2006/main">
  <c r="B2" i="1" l="1"/>
  <c r="E2" i="1"/>
  <c r="I2" i="1"/>
  <c r="B3" i="1"/>
  <c r="E3" i="1"/>
  <c r="I3" i="1"/>
  <c r="B4" i="1"/>
  <c r="E4" i="1"/>
  <c r="I4" i="1"/>
  <c r="B5" i="1"/>
  <c r="E5" i="1"/>
  <c r="I5" i="1"/>
  <c r="B6" i="1"/>
  <c r="E6" i="1"/>
  <c r="I6" i="1"/>
  <c r="B7" i="1"/>
  <c r="E7" i="1"/>
  <c r="I7" i="1"/>
  <c r="B8" i="1"/>
  <c r="E8" i="1"/>
  <c r="I8" i="1"/>
  <c r="B9" i="1"/>
  <c r="E9" i="1"/>
  <c r="I9" i="1"/>
  <c r="B10" i="1"/>
  <c r="E10" i="1"/>
  <c r="I10" i="1"/>
  <c r="B11" i="1"/>
  <c r="E11" i="1"/>
  <c r="I11" i="1"/>
  <c r="B12" i="1"/>
  <c r="E12" i="1"/>
  <c r="I12" i="1"/>
  <c r="B13" i="1"/>
  <c r="E13" i="1"/>
  <c r="I13" i="1"/>
  <c r="B14" i="1"/>
  <c r="E14" i="1"/>
  <c r="I14" i="1"/>
  <c r="B15" i="1"/>
  <c r="E15" i="1"/>
  <c r="I15" i="1"/>
  <c r="B16" i="1"/>
  <c r="E16" i="1"/>
  <c r="I16" i="1"/>
  <c r="B17" i="1"/>
  <c r="E17" i="1"/>
  <c r="I17" i="1"/>
  <c r="B18" i="1"/>
  <c r="E18" i="1"/>
  <c r="I18" i="1"/>
  <c r="B19" i="1"/>
  <c r="E19" i="1"/>
  <c r="I19" i="1"/>
  <c r="B20" i="1"/>
  <c r="E20" i="1"/>
  <c r="I20" i="1"/>
  <c r="B21" i="1"/>
  <c r="E21" i="1"/>
  <c r="I21" i="1"/>
  <c r="B22" i="1"/>
  <c r="E22" i="1"/>
  <c r="I22" i="1"/>
  <c r="B23" i="1"/>
  <c r="E23" i="1"/>
  <c r="I23" i="1"/>
  <c r="B24" i="1"/>
  <c r="E24" i="1"/>
  <c r="I24" i="1"/>
  <c r="B25" i="1"/>
  <c r="E25" i="1"/>
  <c r="I25" i="1"/>
  <c r="B26" i="1"/>
  <c r="E26" i="1"/>
  <c r="I26" i="1"/>
  <c r="B27" i="1"/>
  <c r="E27" i="1"/>
  <c r="I27" i="1"/>
  <c r="B28" i="1"/>
  <c r="E28" i="1"/>
  <c r="I28" i="1"/>
  <c r="B29" i="1"/>
  <c r="E29" i="1"/>
  <c r="I29" i="1"/>
  <c r="B30" i="1"/>
  <c r="E30" i="1"/>
  <c r="I30" i="1"/>
  <c r="B31" i="1"/>
  <c r="E31" i="1"/>
  <c r="I31" i="1"/>
  <c r="B32" i="1"/>
  <c r="E32" i="1"/>
  <c r="I32" i="1"/>
  <c r="B33" i="1"/>
  <c r="E33" i="1"/>
  <c r="I33" i="1"/>
  <c r="B34" i="1"/>
  <c r="E34" i="1"/>
  <c r="I34" i="1"/>
  <c r="B35" i="1"/>
  <c r="E35" i="1"/>
  <c r="I35" i="1"/>
  <c r="B36" i="1"/>
  <c r="E36" i="1"/>
  <c r="I36" i="1"/>
  <c r="B37" i="1"/>
  <c r="E37" i="1"/>
  <c r="I37" i="1"/>
  <c r="B38" i="1"/>
  <c r="E38" i="1"/>
  <c r="I38" i="1"/>
  <c r="B39" i="1"/>
  <c r="E39" i="1"/>
  <c r="I39" i="1"/>
  <c r="B40" i="1"/>
  <c r="E40" i="1"/>
  <c r="I40" i="1"/>
  <c r="B41" i="1"/>
  <c r="E41" i="1"/>
  <c r="I41" i="1"/>
  <c r="B42" i="1"/>
  <c r="E42" i="1"/>
  <c r="I42" i="1"/>
  <c r="B43" i="1"/>
  <c r="E43" i="1"/>
  <c r="I43" i="1"/>
  <c r="B44" i="1"/>
  <c r="E44" i="1"/>
  <c r="I44" i="1"/>
  <c r="B45" i="1"/>
  <c r="E45" i="1"/>
  <c r="I45" i="1"/>
  <c r="B46" i="1"/>
  <c r="E46" i="1"/>
  <c r="I46" i="1"/>
  <c r="B47" i="1"/>
  <c r="E47" i="1"/>
  <c r="I47" i="1"/>
  <c r="B48" i="1"/>
  <c r="E48" i="1"/>
  <c r="I48" i="1"/>
  <c r="B49" i="1"/>
  <c r="E49" i="1"/>
  <c r="I49" i="1"/>
  <c r="B50" i="1"/>
  <c r="E50" i="1"/>
  <c r="I50" i="1"/>
  <c r="B51" i="1"/>
  <c r="E51" i="1"/>
  <c r="I51" i="1"/>
  <c r="B52" i="1"/>
  <c r="E52" i="1"/>
  <c r="I52" i="1"/>
  <c r="B53" i="1"/>
  <c r="E53" i="1"/>
  <c r="I53" i="1"/>
  <c r="B54" i="1"/>
  <c r="E54" i="1"/>
  <c r="I54" i="1"/>
  <c r="B55" i="1"/>
  <c r="E55" i="1"/>
  <c r="I55" i="1"/>
  <c r="B56" i="1"/>
  <c r="E56" i="1"/>
  <c r="I56" i="1"/>
  <c r="B57" i="1"/>
  <c r="E57" i="1"/>
  <c r="I57" i="1"/>
  <c r="B58" i="1"/>
  <c r="E58" i="1"/>
  <c r="I58" i="1"/>
  <c r="B59" i="1"/>
  <c r="E59" i="1"/>
  <c r="I59" i="1"/>
  <c r="B60" i="1"/>
  <c r="E60" i="1"/>
  <c r="I60" i="1"/>
  <c r="B61" i="1"/>
  <c r="E61" i="1"/>
  <c r="I61" i="1"/>
  <c r="B62" i="1"/>
  <c r="E62" i="1"/>
  <c r="I62" i="1"/>
  <c r="B63" i="1"/>
  <c r="E63" i="1"/>
  <c r="I63" i="1"/>
  <c r="B64" i="1"/>
  <c r="E64" i="1"/>
  <c r="I64" i="1"/>
  <c r="B65" i="1"/>
  <c r="E65" i="1"/>
  <c r="I65" i="1"/>
  <c r="B66" i="1"/>
  <c r="E66" i="1"/>
  <c r="I66" i="1"/>
  <c r="B67" i="1"/>
  <c r="E67" i="1"/>
  <c r="I67" i="1"/>
  <c r="B68" i="1"/>
  <c r="E68" i="1"/>
  <c r="I68" i="1"/>
  <c r="B69" i="1"/>
  <c r="E69" i="1"/>
  <c r="I69" i="1"/>
  <c r="B70" i="1"/>
  <c r="E70" i="1"/>
  <c r="I70" i="1"/>
  <c r="B71" i="1"/>
  <c r="E71" i="1"/>
  <c r="I71" i="1"/>
  <c r="B72" i="1"/>
  <c r="E72" i="1"/>
  <c r="I72" i="1"/>
  <c r="B73" i="1"/>
  <c r="E73" i="1"/>
  <c r="I73" i="1"/>
  <c r="B74" i="1"/>
  <c r="E74" i="1"/>
  <c r="I74" i="1"/>
  <c r="B75" i="1"/>
  <c r="E75" i="1"/>
  <c r="I75" i="1"/>
  <c r="B76" i="1"/>
  <c r="E76" i="1"/>
  <c r="I76" i="1"/>
  <c r="B77" i="1"/>
  <c r="E77" i="1"/>
  <c r="I77" i="1"/>
  <c r="B78" i="1"/>
  <c r="E78" i="1"/>
  <c r="I78" i="1"/>
  <c r="B79" i="1"/>
  <c r="E79" i="1"/>
  <c r="I79" i="1"/>
  <c r="B80" i="1"/>
  <c r="E80" i="1"/>
  <c r="I80" i="1"/>
  <c r="B81" i="1"/>
  <c r="E81" i="1"/>
  <c r="I81" i="1"/>
  <c r="B82" i="1"/>
  <c r="E82" i="1"/>
  <c r="I82" i="1"/>
  <c r="B83" i="1"/>
  <c r="E83" i="1"/>
  <c r="I83" i="1"/>
  <c r="B84" i="1"/>
  <c r="E84" i="1"/>
  <c r="I84" i="1"/>
  <c r="B85" i="1"/>
  <c r="E85" i="1"/>
  <c r="I85" i="1"/>
  <c r="B86" i="1"/>
  <c r="E86" i="1"/>
  <c r="I86" i="1"/>
  <c r="B87" i="1"/>
  <c r="E87" i="1"/>
  <c r="I87" i="1"/>
  <c r="B88" i="1"/>
  <c r="E88" i="1"/>
  <c r="I88" i="1"/>
  <c r="B89" i="1"/>
  <c r="E89" i="1"/>
  <c r="I89" i="1"/>
  <c r="B90" i="1"/>
  <c r="E90" i="1"/>
  <c r="I90" i="1"/>
  <c r="B91" i="1"/>
  <c r="E91" i="1"/>
  <c r="I91" i="1"/>
  <c r="B92" i="1"/>
  <c r="E92" i="1"/>
  <c r="I92" i="1"/>
  <c r="B93" i="1"/>
  <c r="E93" i="1"/>
  <c r="I93" i="1"/>
  <c r="B94" i="1"/>
  <c r="E94" i="1"/>
  <c r="I94" i="1"/>
  <c r="B95" i="1"/>
  <c r="E95" i="1"/>
  <c r="I95" i="1"/>
  <c r="B96" i="1"/>
  <c r="E96" i="1"/>
  <c r="I96" i="1"/>
  <c r="B97" i="1"/>
  <c r="E97" i="1"/>
  <c r="I97" i="1"/>
  <c r="B98" i="1"/>
  <c r="E98" i="1"/>
  <c r="I98" i="1"/>
  <c r="B99" i="1"/>
  <c r="E99" i="1"/>
  <c r="I99" i="1"/>
  <c r="B100" i="1"/>
  <c r="E100" i="1"/>
  <c r="I100" i="1"/>
  <c r="B101" i="1"/>
  <c r="E101" i="1"/>
  <c r="I101" i="1"/>
  <c r="B102" i="1"/>
  <c r="E102" i="1"/>
  <c r="I102" i="1"/>
  <c r="B103" i="1"/>
  <c r="E103" i="1"/>
  <c r="I103" i="1"/>
  <c r="B104" i="1"/>
  <c r="E104" i="1"/>
  <c r="I104" i="1"/>
  <c r="B105" i="1"/>
  <c r="E105" i="1"/>
  <c r="I105" i="1"/>
  <c r="B106" i="1"/>
  <c r="E106" i="1"/>
  <c r="I106" i="1"/>
  <c r="B107" i="1"/>
  <c r="E107" i="1"/>
  <c r="I107" i="1"/>
  <c r="B108" i="1"/>
  <c r="E108" i="1"/>
  <c r="I108" i="1"/>
  <c r="B109" i="1"/>
  <c r="E109" i="1"/>
  <c r="I109" i="1"/>
  <c r="B110" i="1"/>
  <c r="E110" i="1"/>
  <c r="I110" i="1"/>
  <c r="B111" i="1"/>
  <c r="E111" i="1"/>
  <c r="I111" i="1"/>
  <c r="B112" i="1"/>
  <c r="E112" i="1"/>
  <c r="I112" i="1"/>
  <c r="B113" i="1"/>
  <c r="E113" i="1"/>
  <c r="I113" i="1"/>
  <c r="B114" i="1"/>
  <c r="E114" i="1"/>
  <c r="I114" i="1"/>
  <c r="B115" i="1"/>
  <c r="E115" i="1"/>
  <c r="I115" i="1"/>
  <c r="B116" i="1"/>
  <c r="E116" i="1"/>
  <c r="I116" i="1"/>
  <c r="B117" i="1"/>
  <c r="E117" i="1"/>
  <c r="I117" i="1"/>
  <c r="B118" i="1"/>
  <c r="E118" i="1"/>
  <c r="I118" i="1"/>
  <c r="B119" i="1"/>
  <c r="E119" i="1"/>
  <c r="I119" i="1"/>
  <c r="B120" i="1"/>
  <c r="E120" i="1"/>
  <c r="I120" i="1"/>
  <c r="B121" i="1"/>
  <c r="E121" i="1"/>
  <c r="I121" i="1"/>
  <c r="B122" i="1"/>
  <c r="E122" i="1"/>
  <c r="I122" i="1"/>
  <c r="B123" i="1"/>
  <c r="E123" i="1"/>
  <c r="I123" i="1"/>
  <c r="B124" i="1"/>
  <c r="E124" i="1"/>
  <c r="I124" i="1"/>
  <c r="B125" i="1"/>
  <c r="E125" i="1"/>
  <c r="I125" i="1"/>
  <c r="B126" i="1"/>
  <c r="E126" i="1"/>
  <c r="I126" i="1"/>
  <c r="B127" i="1"/>
  <c r="E127" i="1"/>
  <c r="I127" i="1"/>
  <c r="B128" i="1"/>
  <c r="E128" i="1"/>
  <c r="I128" i="1"/>
  <c r="B129" i="1"/>
  <c r="E129" i="1"/>
  <c r="I129" i="1"/>
  <c r="B130" i="1"/>
  <c r="E130" i="1"/>
  <c r="I130" i="1"/>
  <c r="B131" i="1"/>
  <c r="E131" i="1"/>
  <c r="I131" i="1"/>
  <c r="B132" i="1"/>
  <c r="E132" i="1"/>
  <c r="I132" i="1"/>
  <c r="B133" i="1"/>
  <c r="E133" i="1"/>
  <c r="I133" i="1"/>
  <c r="B134" i="1"/>
  <c r="E134" i="1"/>
  <c r="I134" i="1"/>
  <c r="B135" i="1"/>
  <c r="E135" i="1"/>
  <c r="I135" i="1"/>
  <c r="B136" i="1"/>
  <c r="E136" i="1"/>
  <c r="I136" i="1"/>
  <c r="B137" i="1"/>
  <c r="E137" i="1"/>
  <c r="I137" i="1"/>
  <c r="B138" i="1"/>
  <c r="E138" i="1"/>
  <c r="I138" i="1"/>
  <c r="B139" i="1"/>
  <c r="E139" i="1"/>
  <c r="I139" i="1"/>
  <c r="B140" i="1"/>
  <c r="E140" i="1"/>
  <c r="I140" i="1"/>
  <c r="B141" i="1"/>
  <c r="E141" i="1"/>
  <c r="I141" i="1"/>
  <c r="B142" i="1"/>
  <c r="E142" i="1"/>
  <c r="I142" i="1"/>
  <c r="B143" i="1"/>
  <c r="E143" i="1"/>
  <c r="I143" i="1"/>
  <c r="B144" i="1"/>
  <c r="E144" i="1"/>
  <c r="I144" i="1"/>
  <c r="B145" i="1"/>
  <c r="E145" i="1"/>
  <c r="I145" i="1"/>
  <c r="B146" i="1"/>
  <c r="E146" i="1"/>
  <c r="I146" i="1"/>
  <c r="B147" i="1"/>
  <c r="E147" i="1"/>
  <c r="I147" i="1"/>
  <c r="B148" i="1"/>
  <c r="E148" i="1"/>
  <c r="I148" i="1"/>
  <c r="B149" i="1"/>
  <c r="E149" i="1"/>
  <c r="I149" i="1"/>
  <c r="B150" i="1"/>
  <c r="E150" i="1"/>
  <c r="I150" i="1"/>
  <c r="B151" i="1"/>
  <c r="E151" i="1"/>
  <c r="I151" i="1"/>
  <c r="B152" i="1"/>
  <c r="E152" i="1"/>
  <c r="I152" i="1"/>
  <c r="B153" i="1"/>
  <c r="E153" i="1"/>
  <c r="I153" i="1"/>
  <c r="B154" i="1"/>
  <c r="E154" i="1"/>
  <c r="I154" i="1"/>
  <c r="B155" i="1"/>
  <c r="E155" i="1"/>
  <c r="I155" i="1"/>
  <c r="B156" i="1"/>
  <c r="E156" i="1"/>
  <c r="I156" i="1"/>
  <c r="B157" i="1"/>
  <c r="E157" i="1"/>
  <c r="I157" i="1"/>
  <c r="B158" i="1"/>
  <c r="E158" i="1"/>
  <c r="I158" i="1"/>
  <c r="B159" i="1"/>
  <c r="E159" i="1"/>
  <c r="I159" i="1"/>
  <c r="B160" i="1"/>
  <c r="E160" i="1"/>
  <c r="I160" i="1"/>
  <c r="B161" i="1"/>
  <c r="E161" i="1"/>
  <c r="I161" i="1"/>
  <c r="B162" i="1"/>
  <c r="E162" i="1"/>
  <c r="I162" i="1"/>
  <c r="B163" i="1"/>
  <c r="E163" i="1"/>
  <c r="I163" i="1"/>
  <c r="B164" i="1"/>
  <c r="E164" i="1"/>
  <c r="I164" i="1"/>
  <c r="B165" i="1"/>
  <c r="E165" i="1"/>
  <c r="I165" i="1"/>
  <c r="B166" i="1"/>
  <c r="E166" i="1"/>
  <c r="I166" i="1"/>
  <c r="B167" i="1"/>
  <c r="E167" i="1"/>
  <c r="I167" i="1"/>
  <c r="B168" i="1"/>
  <c r="E168" i="1"/>
  <c r="I168" i="1"/>
  <c r="B169" i="1"/>
  <c r="E169" i="1"/>
  <c r="I169" i="1"/>
  <c r="B170" i="1"/>
  <c r="E170" i="1"/>
  <c r="I170" i="1"/>
  <c r="B171" i="1"/>
  <c r="E171" i="1"/>
  <c r="I171" i="1"/>
  <c r="B172" i="1"/>
  <c r="E172" i="1"/>
  <c r="I172" i="1"/>
  <c r="B173" i="1"/>
  <c r="E173" i="1"/>
  <c r="I173" i="1"/>
  <c r="B174" i="1"/>
  <c r="E174" i="1"/>
  <c r="I174" i="1"/>
  <c r="B175" i="1"/>
  <c r="E175" i="1"/>
  <c r="I175" i="1"/>
  <c r="B176" i="1"/>
  <c r="E176" i="1"/>
  <c r="I176" i="1"/>
  <c r="B177" i="1"/>
  <c r="E177" i="1"/>
  <c r="I177" i="1"/>
  <c r="B178" i="1"/>
  <c r="E178" i="1"/>
  <c r="I178" i="1"/>
  <c r="B179" i="1"/>
  <c r="E179" i="1"/>
  <c r="I179" i="1"/>
  <c r="B180" i="1"/>
  <c r="E180" i="1"/>
  <c r="I180" i="1"/>
  <c r="B181" i="1"/>
  <c r="E181" i="1"/>
  <c r="I181" i="1"/>
  <c r="B182" i="1"/>
  <c r="E182" i="1"/>
  <c r="I182" i="1"/>
  <c r="B183" i="1"/>
  <c r="E183" i="1"/>
  <c r="I183" i="1"/>
  <c r="B184" i="1"/>
  <c r="E184" i="1"/>
  <c r="I184" i="1"/>
  <c r="B185" i="1"/>
  <c r="E185" i="1"/>
  <c r="I185" i="1"/>
  <c r="B186" i="1"/>
  <c r="E186" i="1"/>
  <c r="I186" i="1"/>
  <c r="B187" i="1"/>
  <c r="E187" i="1"/>
  <c r="I187" i="1"/>
  <c r="B188" i="1"/>
  <c r="E188" i="1"/>
  <c r="I188" i="1"/>
  <c r="B189" i="1"/>
  <c r="E189" i="1"/>
  <c r="I189" i="1"/>
  <c r="B190" i="1"/>
  <c r="E190" i="1"/>
  <c r="I190" i="1"/>
  <c r="B191" i="1"/>
  <c r="E191" i="1"/>
  <c r="I191" i="1"/>
  <c r="B192" i="1"/>
  <c r="E192" i="1"/>
  <c r="I192" i="1"/>
  <c r="B193" i="1"/>
  <c r="E193" i="1"/>
  <c r="I193" i="1"/>
  <c r="B194" i="1"/>
  <c r="E194" i="1"/>
  <c r="I194" i="1"/>
  <c r="B195" i="1"/>
  <c r="E195" i="1"/>
  <c r="I195" i="1"/>
  <c r="B196" i="1"/>
  <c r="E196" i="1"/>
  <c r="I196" i="1"/>
  <c r="B197" i="1"/>
  <c r="E197" i="1"/>
  <c r="I197" i="1"/>
  <c r="B198" i="1"/>
  <c r="E198" i="1"/>
  <c r="I198" i="1"/>
  <c r="B199" i="1"/>
  <c r="E199" i="1"/>
  <c r="I199" i="1"/>
  <c r="B200" i="1"/>
  <c r="E200" i="1"/>
  <c r="I200" i="1"/>
  <c r="B201" i="1"/>
  <c r="E201" i="1"/>
  <c r="I201" i="1"/>
  <c r="B202" i="1"/>
  <c r="B203" i="1"/>
  <c r="E203" i="1"/>
  <c r="I203" i="1"/>
  <c r="B204" i="1"/>
  <c r="E204" i="1"/>
  <c r="I204" i="1"/>
  <c r="B205" i="1"/>
  <c r="E205" i="1"/>
  <c r="I205" i="1"/>
  <c r="B206" i="1"/>
  <c r="E206" i="1"/>
  <c r="I206" i="1"/>
  <c r="B207" i="1"/>
  <c r="E207" i="1"/>
  <c r="I207" i="1"/>
  <c r="B208" i="1"/>
  <c r="E208" i="1"/>
  <c r="I208" i="1"/>
  <c r="B209" i="1"/>
  <c r="E209" i="1"/>
  <c r="I209" i="1"/>
  <c r="B210" i="1"/>
  <c r="E210" i="1"/>
  <c r="I210" i="1"/>
  <c r="B211" i="1"/>
  <c r="E211" i="1"/>
  <c r="I211" i="1"/>
  <c r="B212" i="1"/>
  <c r="E212" i="1"/>
  <c r="I212" i="1"/>
  <c r="B213" i="1"/>
  <c r="E213" i="1"/>
  <c r="I213" i="1"/>
  <c r="B214" i="1"/>
  <c r="B215" i="1"/>
  <c r="E215" i="1"/>
  <c r="I215" i="1"/>
  <c r="B216" i="1"/>
  <c r="E216" i="1"/>
  <c r="I216" i="1"/>
  <c r="B217" i="1"/>
  <c r="E217" i="1"/>
  <c r="I217" i="1"/>
  <c r="B218" i="1"/>
  <c r="E218" i="1"/>
  <c r="I218" i="1"/>
  <c r="B219" i="1"/>
  <c r="E219" i="1"/>
  <c r="I219" i="1"/>
  <c r="B220" i="1"/>
  <c r="E220" i="1"/>
  <c r="I220" i="1"/>
  <c r="B221" i="1"/>
  <c r="E221" i="1"/>
  <c r="I221" i="1"/>
  <c r="B222" i="1"/>
  <c r="E222" i="1"/>
  <c r="I222" i="1"/>
  <c r="B223" i="1"/>
  <c r="E223" i="1"/>
  <c r="I223" i="1"/>
  <c r="B224" i="1"/>
  <c r="E224" i="1"/>
  <c r="I224" i="1"/>
  <c r="B225" i="1"/>
  <c r="E225" i="1"/>
  <c r="I225" i="1"/>
  <c r="B226" i="1"/>
  <c r="E226" i="1"/>
  <c r="I226" i="1"/>
  <c r="B227" i="1"/>
  <c r="E227" i="1"/>
  <c r="I227" i="1"/>
  <c r="B228" i="1"/>
  <c r="E228" i="1"/>
  <c r="I228" i="1"/>
  <c r="B229" i="1"/>
  <c r="E229" i="1"/>
  <c r="I229" i="1"/>
  <c r="B230" i="1"/>
  <c r="E230" i="1"/>
  <c r="I230" i="1"/>
  <c r="B231" i="1"/>
  <c r="E231" i="1"/>
  <c r="I231" i="1"/>
  <c r="B232" i="1"/>
  <c r="E232" i="1"/>
  <c r="I232" i="1"/>
  <c r="B233" i="1"/>
  <c r="E233" i="1"/>
  <c r="I233" i="1"/>
  <c r="B234" i="1"/>
  <c r="E234" i="1"/>
  <c r="I234" i="1"/>
  <c r="B235" i="1"/>
  <c r="E235" i="1"/>
  <c r="I235" i="1"/>
  <c r="B236" i="1"/>
  <c r="E236" i="1"/>
  <c r="I236" i="1"/>
  <c r="B237" i="1"/>
  <c r="E237" i="1"/>
  <c r="I237" i="1"/>
  <c r="B238" i="1"/>
  <c r="E238" i="1"/>
  <c r="I238" i="1"/>
  <c r="B239" i="1"/>
  <c r="E239" i="1"/>
  <c r="I239" i="1"/>
  <c r="B240" i="1"/>
  <c r="E240" i="1"/>
  <c r="I240" i="1"/>
  <c r="B241" i="1"/>
  <c r="E241" i="1"/>
  <c r="I241" i="1"/>
  <c r="B242" i="1"/>
  <c r="E242" i="1"/>
  <c r="I242" i="1"/>
  <c r="B243" i="1"/>
  <c r="E243" i="1"/>
  <c r="I243" i="1"/>
  <c r="B244" i="1"/>
  <c r="E244" i="1"/>
  <c r="I244" i="1"/>
  <c r="B245" i="1"/>
  <c r="E245" i="1"/>
  <c r="I245" i="1"/>
  <c r="B246" i="1"/>
  <c r="E246" i="1"/>
  <c r="I246" i="1"/>
  <c r="B247" i="1"/>
  <c r="E247" i="1"/>
  <c r="I247" i="1"/>
  <c r="B248" i="1"/>
  <c r="E248" i="1"/>
  <c r="I248" i="1"/>
  <c r="B249" i="1"/>
  <c r="E249" i="1"/>
  <c r="I249" i="1"/>
  <c r="B250" i="1"/>
  <c r="E250" i="1"/>
  <c r="I250" i="1"/>
  <c r="B251" i="1"/>
  <c r="E251" i="1"/>
  <c r="I251" i="1"/>
  <c r="B252" i="1"/>
  <c r="E252" i="1"/>
  <c r="I252" i="1"/>
  <c r="B253" i="1"/>
  <c r="E253" i="1"/>
  <c r="I253" i="1"/>
  <c r="B254" i="1"/>
  <c r="E254" i="1"/>
  <c r="I254" i="1"/>
  <c r="B255" i="1"/>
  <c r="E255" i="1"/>
  <c r="I255" i="1"/>
  <c r="B256" i="1"/>
  <c r="E256" i="1"/>
  <c r="I256" i="1"/>
  <c r="B257" i="1"/>
  <c r="E257" i="1"/>
  <c r="I257" i="1"/>
  <c r="B258" i="1"/>
  <c r="E258" i="1"/>
  <c r="I258" i="1"/>
  <c r="B259" i="1"/>
  <c r="E259" i="1"/>
  <c r="I259" i="1"/>
  <c r="B260" i="1"/>
  <c r="E260" i="1"/>
  <c r="I260" i="1"/>
  <c r="B261" i="1"/>
  <c r="E261" i="1"/>
  <c r="I261" i="1"/>
  <c r="B262" i="1"/>
  <c r="E262" i="1"/>
  <c r="I262" i="1"/>
  <c r="B263" i="1"/>
  <c r="E263" i="1"/>
  <c r="I263" i="1"/>
  <c r="B264" i="1"/>
  <c r="E264" i="1"/>
  <c r="I264" i="1"/>
  <c r="B265" i="1"/>
  <c r="E265" i="1"/>
  <c r="I265" i="1"/>
  <c r="B266" i="1"/>
  <c r="E266" i="1"/>
  <c r="I266" i="1"/>
  <c r="B267" i="1"/>
  <c r="E267" i="1"/>
  <c r="I267" i="1"/>
  <c r="B268" i="1"/>
  <c r="E268" i="1"/>
  <c r="I268" i="1"/>
  <c r="B269" i="1"/>
  <c r="E269" i="1"/>
  <c r="I269" i="1"/>
  <c r="B270" i="1"/>
  <c r="E270" i="1"/>
  <c r="I270" i="1"/>
  <c r="B271" i="1"/>
  <c r="E271" i="1"/>
  <c r="I271" i="1"/>
  <c r="B272" i="1"/>
  <c r="E272" i="1"/>
  <c r="I272" i="1"/>
  <c r="B273" i="1"/>
  <c r="E273" i="1"/>
  <c r="I273" i="1"/>
  <c r="B274" i="1"/>
  <c r="E274" i="1"/>
  <c r="I274" i="1"/>
  <c r="B275" i="1"/>
  <c r="E275" i="1"/>
  <c r="I275" i="1"/>
  <c r="B276" i="1"/>
  <c r="E276" i="1"/>
  <c r="I276" i="1"/>
  <c r="B277" i="1"/>
  <c r="E277" i="1"/>
  <c r="I277" i="1"/>
  <c r="B278" i="1"/>
  <c r="E278" i="1"/>
  <c r="I278" i="1"/>
  <c r="B279" i="1"/>
  <c r="E279" i="1"/>
  <c r="I279" i="1"/>
  <c r="B280" i="1"/>
  <c r="E280" i="1"/>
  <c r="I280" i="1"/>
  <c r="B281" i="1"/>
  <c r="E281" i="1"/>
  <c r="I281" i="1"/>
  <c r="B282" i="1"/>
  <c r="E282" i="1"/>
  <c r="I282" i="1"/>
  <c r="B283" i="1"/>
  <c r="E283" i="1"/>
  <c r="I283" i="1"/>
  <c r="B284" i="1"/>
  <c r="E284" i="1"/>
  <c r="I284" i="1"/>
  <c r="B285" i="1"/>
  <c r="E285" i="1"/>
  <c r="I285" i="1"/>
  <c r="B286" i="1"/>
  <c r="E286" i="1"/>
  <c r="I286" i="1"/>
  <c r="B287" i="1"/>
  <c r="E287" i="1"/>
  <c r="I287" i="1"/>
  <c r="B288" i="1"/>
  <c r="E288" i="1"/>
  <c r="I288" i="1"/>
  <c r="B289" i="1"/>
  <c r="E289" i="1"/>
  <c r="I289" i="1"/>
  <c r="B290" i="1"/>
  <c r="E290" i="1"/>
  <c r="I290" i="1"/>
  <c r="B291" i="1"/>
  <c r="E291" i="1"/>
  <c r="I291" i="1"/>
  <c r="B292" i="1"/>
  <c r="E292" i="1"/>
  <c r="I292" i="1"/>
  <c r="B293" i="1"/>
  <c r="E293" i="1"/>
  <c r="I293" i="1"/>
  <c r="B294" i="1"/>
  <c r="E294" i="1"/>
  <c r="I294" i="1"/>
  <c r="B295" i="1"/>
  <c r="E295" i="1"/>
  <c r="I295" i="1"/>
  <c r="B296" i="1"/>
  <c r="E296" i="1"/>
  <c r="I296" i="1"/>
  <c r="B297" i="1"/>
  <c r="E297" i="1"/>
  <c r="I297" i="1"/>
  <c r="B298" i="1"/>
  <c r="E298" i="1"/>
  <c r="I298" i="1"/>
  <c r="B299" i="1"/>
  <c r="E299" i="1"/>
  <c r="I299" i="1"/>
  <c r="B300" i="1"/>
  <c r="E300" i="1"/>
  <c r="I300" i="1"/>
  <c r="B301" i="1"/>
  <c r="E301" i="1"/>
  <c r="I301" i="1"/>
  <c r="B302" i="1"/>
  <c r="E302" i="1"/>
  <c r="I302" i="1"/>
  <c r="B303" i="1"/>
  <c r="E303" i="1"/>
  <c r="I303" i="1"/>
  <c r="B304" i="1"/>
  <c r="E304" i="1"/>
  <c r="I304" i="1"/>
  <c r="B305" i="1"/>
  <c r="E305" i="1"/>
  <c r="I305" i="1"/>
  <c r="B306" i="1"/>
  <c r="E306" i="1"/>
  <c r="I306" i="1"/>
  <c r="B307" i="1"/>
  <c r="E307" i="1"/>
  <c r="I307" i="1"/>
  <c r="B308" i="1"/>
  <c r="E308" i="1"/>
  <c r="I308" i="1"/>
  <c r="B309" i="1"/>
  <c r="E309" i="1"/>
  <c r="I309" i="1"/>
  <c r="B310" i="1"/>
  <c r="E310" i="1"/>
  <c r="I310" i="1"/>
  <c r="B311" i="1"/>
  <c r="E311" i="1"/>
  <c r="I311" i="1"/>
  <c r="B312" i="1"/>
  <c r="E312" i="1"/>
  <c r="I312" i="1"/>
  <c r="B313" i="1"/>
  <c r="E313" i="1"/>
  <c r="I313" i="1"/>
  <c r="B314" i="1"/>
  <c r="E314" i="1"/>
  <c r="I314" i="1"/>
  <c r="B315" i="1"/>
  <c r="E315" i="1"/>
  <c r="I315" i="1"/>
  <c r="B316" i="1"/>
  <c r="E316" i="1"/>
  <c r="I316" i="1"/>
  <c r="B317" i="1"/>
  <c r="E317" i="1"/>
  <c r="I317" i="1"/>
  <c r="B318" i="1"/>
  <c r="E318" i="1"/>
  <c r="I318" i="1"/>
  <c r="B319" i="1"/>
  <c r="E319" i="1"/>
  <c r="I319" i="1"/>
  <c r="B320" i="1"/>
  <c r="E320" i="1"/>
  <c r="I320" i="1"/>
  <c r="B321" i="1"/>
  <c r="E321" i="1"/>
  <c r="I321" i="1"/>
  <c r="B322" i="1"/>
  <c r="E322" i="1"/>
  <c r="I322" i="1"/>
  <c r="B323" i="1"/>
  <c r="E323" i="1"/>
  <c r="I323" i="1"/>
  <c r="B324" i="1"/>
  <c r="E324" i="1"/>
  <c r="I324" i="1"/>
  <c r="B325" i="1"/>
  <c r="E325" i="1"/>
  <c r="I325" i="1"/>
  <c r="B326" i="1"/>
  <c r="E326" i="1"/>
  <c r="I326" i="1"/>
  <c r="B327" i="1"/>
  <c r="E327" i="1"/>
  <c r="I327" i="1"/>
  <c r="B328" i="1"/>
  <c r="E328" i="1"/>
  <c r="I328" i="1"/>
  <c r="B329" i="1"/>
  <c r="E329" i="1"/>
  <c r="I329" i="1"/>
  <c r="B330" i="1"/>
  <c r="E330" i="1"/>
  <c r="I330" i="1"/>
  <c r="B331" i="1"/>
  <c r="E331" i="1"/>
  <c r="I331" i="1"/>
  <c r="B332" i="1"/>
  <c r="E332" i="1"/>
  <c r="I332" i="1"/>
  <c r="B333" i="1"/>
  <c r="E333" i="1"/>
  <c r="I333" i="1"/>
  <c r="B334" i="1"/>
  <c r="E334" i="1"/>
  <c r="I334" i="1"/>
  <c r="B335" i="1"/>
  <c r="E335" i="1"/>
  <c r="I335" i="1"/>
  <c r="B336" i="1"/>
  <c r="E336" i="1"/>
  <c r="I336" i="1"/>
  <c r="B337" i="1"/>
  <c r="E337" i="1"/>
  <c r="I337" i="1"/>
  <c r="B338" i="1"/>
  <c r="E338" i="1"/>
  <c r="I338" i="1"/>
  <c r="B339" i="1"/>
  <c r="E339" i="1"/>
  <c r="I339" i="1"/>
  <c r="B340" i="1"/>
  <c r="E340" i="1"/>
  <c r="I340" i="1"/>
  <c r="B341" i="1"/>
  <c r="E341" i="1"/>
  <c r="I341" i="1"/>
  <c r="B342" i="1"/>
  <c r="E342" i="1"/>
  <c r="I342" i="1"/>
  <c r="B343" i="1"/>
  <c r="E343" i="1"/>
  <c r="I343" i="1"/>
  <c r="B344" i="1"/>
  <c r="E344" i="1"/>
  <c r="I344" i="1"/>
  <c r="B345" i="1"/>
  <c r="E345" i="1"/>
  <c r="I345" i="1"/>
  <c r="B346" i="1"/>
  <c r="E346" i="1"/>
  <c r="I346" i="1"/>
  <c r="B347" i="1"/>
  <c r="E347" i="1"/>
  <c r="I347" i="1"/>
  <c r="B348" i="1"/>
  <c r="E348" i="1"/>
  <c r="I348" i="1"/>
  <c r="B349" i="1"/>
  <c r="E349" i="1"/>
  <c r="I349" i="1"/>
  <c r="B350" i="1"/>
  <c r="E350" i="1"/>
  <c r="I350" i="1"/>
  <c r="B351" i="1"/>
  <c r="E351" i="1"/>
  <c r="I351" i="1"/>
  <c r="B352" i="1"/>
  <c r="E352" i="1"/>
  <c r="I352" i="1"/>
  <c r="B353" i="1"/>
  <c r="E353" i="1"/>
  <c r="I353" i="1"/>
  <c r="B354" i="1"/>
  <c r="E354" i="1"/>
  <c r="I354" i="1"/>
  <c r="B355" i="1"/>
  <c r="E355" i="1"/>
  <c r="I355" i="1"/>
  <c r="B356" i="1"/>
  <c r="E356" i="1"/>
  <c r="I356" i="1"/>
  <c r="B357" i="1"/>
  <c r="E357" i="1"/>
  <c r="I357" i="1"/>
  <c r="B358" i="1"/>
  <c r="E358" i="1"/>
  <c r="I358" i="1"/>
  <c r="B359" i="1"/>
  <c r="E359" i="1"/>
  <c r="I359" i="1"/>
  <c r="B360" i="1"/>
  <c r="E360" i="1"/>
  <c r="I360" i="1"/>
  <c r="B361" i="1"/>
  <c r="E361" i="1"/>
  <c r="I361" i="1"/>
  <c r="B362" i="1"/>
  <c r="E362" i="1"/>
  <c r="I362" i="1"/>
  <c r="B363" i="1"/>
  <c r="E363" i="1"/>
  <c r="I363" i="1"/>
  <c r="B364" i="1"/>
  <c r="E364" i="1"/>
  <c r="I364" i="1"/>
  <c r="B365" i="1"/>
  <c r="E365" i="1"/>
  <c r="I365" i="1"/>
  <c r="B366" i="1"/>
  <c r="E366" i="1"/>
  <c r="I366" i="1"/>
  <c r="B367" i="1"/>
  <c r="E367" i="1"/>
  <c r="I367" i="1"/>
  <c r="B368" i="1"/>
  <c r="E368" i="1"/>
  <c r="I368" i="1"/>
  <c r="B369" i="1"/>
  <c r="E369" i="1"/>
  <c r="I369" i="1"/>
  <c r="B370" i="1"/>
  <c r="E370" i="1"/>
  <c r="I370" i="1"/>
  <c r="B371" i="1"/>
  <c r="E371" i="1"/>
  <c r="I371" i="1"/>
  <c r="B372" i="1"/>
  <c r="E372" i="1"/>
  <c r="I372" i="1"/>
  <c r="B373" i="1"/>
  <c r="E373" i="1"/>
  <c r="I373" i="1"/>
  <c r="B374" i="1"/>
  <c r="E374" i="1"/>
  <c r="I374" i="1"/>
  <c r="B375" i="1"/>
  <c r="E375" i="1"/>
  <c r="I375" i="1"/>
  <c r="B376" i="1"/>
  <c r="E376" i="1"/>
  <c r="I376" i="1"/>
  <c r="B377" i="1"/>
  <c r="E377" i="1"/>
  <c r="I377" i="1"/>
  <c r="B378" i="1"/>
  <c r="E378" i="1"/>
  <c r="I378" i="1"/>
  <c r="B379" i="1"/>
  <c r="E379" i="1"/>
  <c r="I379" i="1"/>
  <c r="B380" i="1"/>
  <c r="E380" i="1"/>
  <c r="I380" i="1"/>
  <c r="B381" i="1"/>
  <c r="E381" i="1"/>
  <c r="I381" i="1"/>
  <c r="B382" i="1"/>
  <c r="E382" i="1"/>
  <c r="I382" i="1"/>
  <c r="B383" i="1"/>
  <c r="E383" i="1"/>
  <c r="I383" i="1"/>
  <c r="B384" i="1"/>
  <c r="E384" i="1"/>
  <c r="I384" i="1"/>
  <c r="B385" i="1"/>
  <c r="E385" i="1"/>
  <c r="I385" i="1"/>
  <c r="B386" i="1"/>
  <c r="E386" i="1"/>
  <c r="I386" i="1"/>
  <c r="B387" i="1"/>
  <c r="E387" i="1"/>
  <c r="I387" i="1"/>
  <c r="B388" i="1"/>
  <c r="E388" i="1"/>
  <c r="I388" i="1"/>
  <c r="B389" i="1"/>
  <c r="E389" i="1"/>
  <c r="I389" i="1"/>
  <c r="B390" i="1"/>
  <c r="E390" i="1"/>
  <c r="I390" i="1"/>
  <c r="B391" i="1"/>
  <c r="E391" i="1"/>
  <c r="I391" i="1"/>
  <c r="B392" i="1"/>
  <c r="E392" i="1"/>
  <c r="I392" i="1"/>
  <c r="B393" i="1"/>
  <c r="E393" i="1"/>
  <c r="I393" i="1"/>
  <c r="B394" i="1"/>
  <c r="E394" i="1"/>
  <c r="I394" i="1"/>
  <c r="B395" i="1"/>
  <c r="E395" i="1"/>
  <c r="I395" i="1"/>
  <c r="B396" i="1"/>
  <c r="E396" i="1"/>
  <c r="I396" i="1"/>
  <c r="B397" i="1"/>
  <c r="E397" i="1"/>
  <c r="I397" i="1"/>
  <c r="B398" i="1"/>
  <c r="E398" i="1"/>
  <c r="I398" i="1"/>
  <c r="B399" i="1"/>
  <c r="E399" i="1"/>
  <c r="I399" i="1"/>
  <c r="B400" i="1"/>
  <c r="E400" i="1"/>
  <c r="I400" i="1"/>
  <c r="B401" i="1"/>
  <c r="E401" i="1"/>
  <c r="I401" i="1"/>
  <c r="B402" i="1"/>
  <c r="E402" i="1"/>
  <c r="I402" i="1"/>
  <c r="B403" i="1"/>
  <c r="E403" i="1"/>
  <c r="I403" i="1"/>
  <c r="B404" i="1"/>
  <c r="E404" i="1"/>
  <c r="I404" i="1"/>
  <c r="B405" i="1"/>
  <c r="E405" i="1"/>
  <c r="I405" i="1"/>
  <c r="B406" i="1"/>
  <c r="E406" i="1"/>
  <c r="I406" i="1"/>
  <c r="B407" i="1"/>
  <c r="E407" i="1"/>
  <c r="I407" i="1"/>
  <c r="B408" i="1"/>
  <c r="E408" i="1"/>
  <c r="I408" i="1"/>
  <c r="B409" i="1"/>
  <c r="E409" i="1"/>
  <c r="I409" i="1"/>
  <c r="B410" i="1"/>
  <c r="E410" i="1"/>
  <c r="I410" i="1"/>
  <c r="B411" i="1"/>
  <c r="E411" i="1"/>
  <c r="I411" i="1"/>
  <c r="B412" i="1"/>
  <c r="E412" i="1"/>
  <c r="I412" i="1"/>
  <c r="B413" i="1"/>
  <c r="E413" i="1"/>
  <c r="I413" i="1"/>
  <c r="B414" i="1"/>
  <c r="E414" i="1"/>
  <c r="I414" i="1"/>
  <c r="B415" i="1"/>
  <c r="E415" i="1"/>
  <c r="I415" i="1"/>
  <c r="B416" i="1"/>
  <c r="E416" i="1"/>
  <c r="I416" i="1"/>
  <c r="B417" i="1"/>
  <c r="E417" i="1"/>
  <c r="I417" i="1"/>
  <c r="B418" i="1"/>
  <c r="E418" i="1"/>
  <c r="I418" i="1"/>
  <c r="B419" i="1"/>
  <c r="E419" i="1"/>
  <c r="I419" i="1"/>
  <c r="B420" i="1"/>
  <c r="E420" i="1"/>
  <c r="I420" i="1"/>
  <c r="B421" i="1"/>
  <c r="E421" i="1"/>
  <c r="I421" i="1"/>
  <c r="B422" i="1"/>
  <c r="E422" i="1"/>
  <c r="I422" i="1"/>
  <c r="B423" i="1"/>
  <c r="E423" i="1"/>
  <c r="I423" i="1"/>
  <c r="B424" i="1"/>
  <c r="E424" i="1"/>
  <c r="I424" i="1"/>
  <c r="B425" i="1"/>
  <c r="E425" i="1"/>
  <c r="I425" i="1"/>
  <c r="B426" i="1"/>
  <c r="E426" i="1"/>
  <c r="I426" i="1"/>
  <c r="B427" i="1"/>
  <c r="E427" i="1"/>
  <c r="I427" i="1"/>
  <c r="B428" i="1"/>
  <c r="E428" i="1"/>
  <c r="I428" i="1"/>
  <c r="B429" i="1"/>
  <c r="E429" i="1"/>
  <c r="I429" i="1"/>
  <c r="B430" i="1"/>
  <c r="E430" i="1"/>
  <c r="I430" i="1"/>
  <c r="B431" i="1"/>
  <c r="E431" i="1"/>
  <c r="I431" i="1"/>
  <c r="B432" i="1"/>
  <c r="E432" i="1"/>
  <c r="I432" i="1"/>
  <c r="B433" i="1"/>
  <c r="E433" i="1"/>
  <c r="I433" i="1"/>
  <c r="B434" i="1"/>
  <c r="E434" i="1"/>
  <c r="I434" i="1"/>
  <c r="B435" i="1"/>
  <c r="E435" i="1"/>
  <c r="I435" i="1"/>
  <c r="B436" i="1"/>
  <c r="E436" i="1"/>
  <c r="I436" i="1"/>
  <c r="B437" i="1"/>
  <c r="E437" i="1"/>
  <c r="I437" i="1"/>
  <c r="B438" i="1"/>
  <c r="E438" i="1"/>
  <c r="I438" i="1"/>
  <c r="B439" i="1"/>
  <c r="E439" i="1"/>
  <c r="I439" i="1"/>
  <c r="B440" i="1"/>
  <c r="E440" i="1"/>
  <c r="I440" i="1"/>
  <c r="B441" i="1"/>
  <c r="E441" i="1"/>
  <c r="I441" i="1"/>
  <c r="B442" i="1"/>
  <c r="E442" i="1"/>
  <c r="I442" i="1"/>
  <c r="B443" i="1"/>
  <c r="E443" i="1"/>
  <c r="I443" i="1"/>
  <c r="B444" i="1"/>
  <c r="E444" i="1"/>
  <c r="I444" i="1"/>
  <c r="B445" i="1"/>
  <c r="E445" i="1"/>
  <c r="I445" i="1"/>
  <c r="B446" i="1"/>
  <c r="E446" i="1"/>
  <c r="I446" i="1"/>
  <c r="B447" i="1"/>
  <c r="E447" i="1"/>
  <c r="I447" i="1"/>
  <c r="B448" i="1"/>
  <c r="E448" i="1"/>
  <c r="I448" i="1"/>
  <c r="B449" i="1"/>
  <c r="E449" i="1"/>
  <c r="I449" i="1"/>
  <c r="B450" i="1"/>
  <c r="E450" i="1"/>
  <c r="I450" i="1"/>
  <c r="B451" i="1"/>
  <c r="E451" i="1"/>
  <c r="I451" i="1"/>
  <c r="B452" i="1"/>
  <c r="E452" i="1"/>
  <c r="I452" i="1"/>
  <c r="B453" i="1"/>
  <c r="E453" i="1"/>
  <c r="I453" i="1"/>
  <c r="B454" i="1"/>
  <c r="E454" i="1"/>
  <c r="I454" i="1"/>
  <c r="B455" i="1"/>
  <c r="E455" i="1"/>
  <c r="I455" i="1"/>
  <c r="B456" i="1"/>
  <c r="E456" i="1"/>
  <c r="I456" i="1"/>
  <c r="B457" i="1"/>
  <c r="E457" i="1"/>
  <c r="I457" i="1"/>
  <c r="B458" i="1"/>
  <c r="E458" i="1"/>
  <c r="I458" i="1"/>
  <c r="B459" i="1"/>
  <c r="E459" i="1"/>
  <c r="I459" i="1"/>
  <c r="B460" i="1"/>
  <c r="E460" i="1"/>
  <c r="I460" i="1"/>
  <c r="B461" i="1"/>
  <c r="E461" i="1"/>
  <c r="I461" i="1"/>
  <c r="B462" i="1"/>
  <c r="E462" i="1"/>
  <c r="I462" i="1"/>
  <c r="B463" i="1"/>
  <c r="E463" i="1"/>
  <c r="I463" i="1"/>
  <c r="B464" i="1"/>
  <c r="E464" i="1"/>
  <c r="I464" i="1"/>
  <c r="B465" i="1"/>
  <c r="E465" i="1"/>
  <c r="I465" i="1"/>
  <c r="B466" i="1"/>
  <c r="E466" i="1"/>
  <c r="I466" i="1"/>
  <c r="B467" i="1"/>
  <c r="E467" i="1"/>
  <c r="I467" i="1"/>
  <c r="B468" i="1"/>
  <c r="E468" i="1"/>
  <c r="I468" i="1"/>
  <c r="B469" i="1"/>
  <c r="E469" i="1"/>
  <c r="I469" i="1"/>
  <c r="B470" i="1"/>
  <c r="E470" i="1"/>
  <c r="I470" i="1"/>
  <c r="B471" i="1"/>
  <c r="E471" i="1"/>
  <c r="I471" i="1"/>
  <c r="B472" i="1"/>
  <c r="E472" i="1"/>
  <c r="I472" i="1"/>
  <c r="B473" i="1"/>
  <c r="E473" i="1"/>
  <c r="I473" i="1"/>
  <c r="B474" i="1"/>
  <c r="E474" i="1"/>
  <c r="I474" i="1"/>
  <c r="B475" i="1"/>
  <c r="E475" i="1"/>
  <c r="I475" i="1"/>
  <c r="B476" i="1"/>
  <c r="E476" i="1"/>
  <c r="I476" i="1"/>
  <c r="B477" i="1"/>
  <c r="E477" i="1"/>
  <c r="I477" i="1"/>
  <c r="B478" i="1"/>
  <c r="E478" i="1"/>
  <c r="I478" i="1"/>
  <c r="B479" i="1"/>
  <c r="E479" i="1"/>
  <c r="I479" i="1"/>
  <c r="B480" i="1"/>
  <c r="E480" i="1"/>
  <c r="I480" i="1"/>
  <c r="B481" i="1"/>
  <c r="E481" i="1"/>
  <c r="I481" i="1"/>
  <c r="B482" i="1"/>
  <c r="E482" i="1"/>
  <c r="I482" i="1"/>
  <c r="B483" i="1"/>
  <c r="E483" i="1"/>
  <c r="I483" i="1"/>
  <c r="B484" i="1"/>
  <c r="E484" i="1"/>
  <c r="I484" i="1"/>
  <c r="B485" i="1"/>
  <c r="E485" i="1"/>
  <c r="I485" i="1"/>
  <c r="B486" i="1"/>
  <c r="E486" i="1"/>
  <c r="I486" i="1"/>
  <c r="B487" i="1"/>
  <c r="E487" i="1"/>
  <c r="I487" i="1"/>
  <c r="B488" i="1"/>
  <c r="E488" i="1"/>
  <c r="I488" i="1"/>
  <c r="B489" i="1"/>
  <c r="E489" i="1"/>
  <c r="I489" i="1"/>
  <c r="B490" i="1"/>
  <c r="E490" i="1"/>
  <c r="I490" i="1"/>
  <c r="B491" i="1"/>
  <c r="E491" i="1"/>
  <c r="I491" i="1"/>
  <c r="B492" i="1"/>
  <c r="E492" i="1"/>
  <c r="I492" i="1"/>
  <c r="B493" i="1"/>
  <c r="E493" i="1"/>
  <c r="I493" i="1"/>
  <c r="B494" i="1"/>
  <c r="E494" i="1"/>
  <c r="I494" i="1"/>
  <c r="B495" i="1"/>
  <c r="E495" i="1"/>
  <c r="I495" i="1"/>
  <c r="B496" i="1"/>
  <c r="E496" i="1"/>
  <c r="I496" i="1"/>
  <c r="B497" i="1"/>
  <c r="E497" i="1"/>
  <c r="I497" i="1"/>
  <c r="B498" i="1"/>
  <c r="E498" i="1"/>
  <c r="I498" i="1"/>
  <c r="B499" i="1"/>
  <c r="E499" i="1"/>
  <c r="I499" i="1"/>
  <c r="B500" i="1"/>
  <c r="E500" i="1"/>
  <c r="I500" i="1"/>
  <c r="B501" i="1"/>
  <c r="E501" i="1"/>
  <c r="I501" i="1"/>
  <c r="B502" i="1"/>
  <c r="E502" i="1"/>
  <c r="I502" i="1"/>
</calcChain>
</file>

<file path=xl/sharedStrings.xml><?xml version="1.0" encoding="utf-8"?>
<sst xmlns="http://schemas.openxmlformats.org/spreadsheetml/2006/main" count="2031" uniqueCount="79">
  <si>
    <t>S.L.</t>
  </si>
  <si>
    <t>imaplink</t>
  </si>
  <si>
    <t>presenceId</t>
  </si>
  <si>
    <t>presentSpeciesId</t>
  </si>
  <si>
    <t>iMapPhoto</t>
  </si>
  <si>
    <t>imap_sci</t>
  </si>
  <si>
    <t>imap_com</t>
  </si>
  <si>
    <t>imap_record_taxon</t>
  </si>
  <si>
    <t>inatlink</t>
  </si>
  <si>
    <t>inat_sci</t>
  </si>
  <si>
    <t>inat_com</t>
  </si>
  <si>
    <t>inat_taxon</t>
  </si>
  <si>
    <t>geo_score</t>
  </si>
  <si>
    <t>com_score</t>
  </si>
  <si>
    <t>visual_model</t>
  </si>
  <si>
    <t>species_label</t>
  </si>
  <si>
    <t>com_status</t>
  </si>
  <si>
    <t>Lycorma delicatula</t>
  </si>
  <si>
    <t>Spotted Lanternfly</t>
  </si>
  <si>
    <t>Halyomorpha halys</t>
  </si>
  <si>
    <t>Brown marmorated stink bug</t>
  </si>
  <si>
    <t>Spotted lanternfly</t>
  </si>
  <si>
    <t>Amandinea punctata</t>
  </si>
  <si>
    <t>Tiny button lichen</t>
  </si>
  <si>
    <t>Betula populifolia</t>
  </si>
  <si>
    <t>Gray birch</t>
  </si>
  <si>
    <t>Thelia bimaculata</t>
  </si>
  <si>
    <t>Locust treehopper</t>
  </si>
  <si>
    <t>Ailanthus altissima</t>
  </si>
  <si>
    <t>Tree-of-Heaven</t>
  </si>
  <si>
    <t>Antiteuchus tripterus</t>
  </si>
  <si>
    <t>Unknown</t>
  </si>
  <si>
    <t>Popillia japonica</t>
  </si>
  <si>
    <t>Japanese beetle</t>
  </si>
  <si>
    <t>Peniophora cinerea</t>
  </si>
  <si>
    <t>Parthenocissus quinquefolia</t>
  </si>
  <si>
    <t>Virginia creeper</t>
  </si>
  <si>
    <t>Lygaeus kalmii</t>
  </si>
  <si>
    <t>Small milkweed bug</t>
  </si>
  <si>
    <t>Brochymena quadripustulata</t>
  </si>
  <si>
    <t>Four-humped stink bug</t>
  </si>
  <si>
    <t>Rugosana querci</t>
  </si>
  <si>
    <t>Anasa tristis</t>
  </si>
  <si>
    <t>Squash bug</t>
  </si>
  <si>
    <t>Cryphonectria parasitica</t>
  </si>
  <si>
    <t>Chestnut blight</t>
  </si>
  <si>
    <t>Persicaria perfoliata</t>
  </si>
  <si>
    <t>Mile-a-minute weed</t>
  </si>
  <si>
    <t>Osmia bucephala</t>
  </si>
  <si>
    <t>Bufflehead mason bee</t>
  </si>
  <si>
    <t>Leptoglossus occidentalis</t>
  </si>
  <si>
    <t>Western conifer seed bug</t>
  </si>
  <si>
    <t>Diplocarpon rosae</t>
  </si>
  <si>
    <t>Rose black spot</t>
  </si>
  <si>
    <t>Delphinia picta</t>
  </si>
  <si>
    <t>Common picture-winged fly</t>
  </si>
  <si>
    <t>Blatta orientalis</t>
  </si>
  <si>
    <t>Oriental cockroach</t>
  </si>
  <si>
    <t>No Photo</t>
  </si>
  <si>
    <t>Rosellinia subiculata</t>
  </si>
  <si>
    <t>Tree-of-heaven</t>
  </si>
  <si>
    <t>Lyomyces sambuci</t>
  </si>
  <si>
    <t>Elder whitewash</t>
  </si>
  <si>
    <t>Ampelopsis glandulosa</t>
  </si>
  <si>
    <t>Porcelain berry</t>
  </si>
  <si>
    <t>Felis catus</t>
  </si>
  <si>
    <t>Domestic cat</t>
  </si>
  <si>
    <t>Platanus occidentalis</t>
  </si>
  <si>
    <t>American sycamore</t>
  </si>
  <si>
    <t>Camponotus pennsylvanicus</t>
  </si>
  <si>
    <t>Eastern black carpenter ant</t>
  </si>
  <si>
    <t>Acer platanoides</t>
  </si>
  <si>
    <t>Norway maple</t>
  </si>
  <si>
    <t>Vespula maculifrons</t>
  </si>
  <si>
    <t>Eastern yellowjacket</t>
  </si>
  <si>
    <t>Wisteria floribunda</t>
  </si>
  <si>
    <t>Japanese wisteria</t>
  </si>
  <si>
    <t>Psyche casta</t>
  </si>
  <si>
    <t>Common bagworm moth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</si>
</sst>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31E2-2F16-4658-9E5A-54D2594CCE1A}">
  <dimension ref="A1:Q502"/>
  <sheetViews>
    <sheetView tabSelected="1" workbookViewId="0"/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</v>
      </c>
      <c r="B2" t="str">
        <f>HYPERLINK("https://imapinvasives.natureserve.org/imap/services/page/Presence/1350954.html", "View")</f>
        <v>View</v>
      </c>
      <c r="C2">
        <v>1350954</v>
      </c>
      <c r="D2">
        <v>1368225</v>
      </c>
      <c r="E2" t="str">
        <f>HYPERLINK("http://imap3images.s3-website-us-east-1.amazonaws.com/1368225/p/imap_app_photo_1693341079365.jpg", "View")</f>
        <v>View</v>
      </c>
      <c r="F2" t="s">
        <v>17</v>
      </c>
      <c r="G2" t="s">
        <v>18</v>
      </c>
      <c r="H2">
        <v>324726</v>
      </c>
      <c r="I2" t="str">
        <f>HYPERLINK("https://www.inaturalist.org/taxa/81923-Halyomorpha-halys", "View")</f>
        <v>View</v>
      </c>
      <c r="J2" t="s">
        <v>19</v>
      </c>
      <c r="K2" t="s">
        <v>20</v>
      </c>
      <c r="L2">
        <v>81923</v>
      </c>
      <c r="M2">
        <v>31.59</v>
      </c>
      <c r="N2">
        <v>25.49</v>
      </c>
      <c r="P2">
        <v>0</v>
      </c>
    </row>
    <row r="3" spans="1:17" x14ac:dyDescent="0.3">
      <c r="A3">
        <v>2</v>
      </c>
      <c r="B3" t="str">
        <f>HYPERLINK("https://imapinvasives.natureserve.org/imap/services/page/Presence/1441530.html", "View")</f>
        <v>View</v>
      </c>
      <c r="C3">
        <v>1441530</v>
      </c>
      <c r="D3">
        <v>1455989</v>
      </c>
      <c r="E3" t="str">
        <f>HYPERLINK("http://imap3images.s3-website-us-east-1.amazonaws.com/1455989/p/imap_app_photo_1724254774231.jpg", "View")</f>
        <v>View</v>
      </c>
      <c r="F3" t="s">
        <v>17</v>
      </c>
      <c r="G3" t="s">
        <v>18</v>
      </c>
      <c r="H3">
        <v>324726</v>
      </c>
      <c r="I3" t="str">
        <f>HYPERLINK("https://www.inaturalist.org/taxa/324726-Lycorma-delicatula", "View")</f>
        <v>View</v>
      </c>
      <c r="J3" t="s">
        <v>17</v>
      </c>
      <c r="K3" t="s">
        <v>21</v>
      </c>
      <c r="L3">
        <v>324726</v>
      </c>
      <c r="M3">
        <v>7.95</v>
      </c>
      <c r="N3">
        <v>91.49</v>
      </c>
      <c r="P3">
        <v>1</v>
      </c>
    </row>
    <row r="4" spans="1:17" x14ac:dyDescent="0.3">
      <c r="A4">
        <v>3</v>
      </c>
      <c r="B4" t="str">
        <f>HYPERLINK("https://imapinvasives.natureserve.org/imap/services/page/Presence/1180108.html", "View")</f>
        <v>View</v>
      </c>
      <c r="C4">
        <v>1180108</v>
      </c>
      <c r="D4">
        <v>1187956</v>
      </c>
      <c r="E4" t="str">
        <f>HYPERLINK("http://imap3images.s3-website-us-east-1.amazonaws.com/1187956/p/inat_photo_166665010.jpg", "View")</f>
        <v>View</v>
      </c>
      <c r="F4" t="s">
        <v>17</v>
      </c>
      <c r="G4" t="s">
        <v>18</v>
      </c>
      <c r="H4">
        <v>324726</v>
      </c>
      <c r="I4" t="str">
        <f>HYPERLINK("https://www.inaturalist.org/taxa/324726-Lycorma-delicatula", "View")</f>
        <v>View</v>
      </c>
      <c r="J4" t="s">
        <v>17</v>
      </c>
      <c r="K4" t="s">
        <v>21</v>
      </c>
      <c r="L4">
        <v>324726</v>
      </c>
      <c r="M4">
        <v>81.28</v>
      </c>
      <c r="N4">
        <v>99.96</v>
      </c>
      <c r="P4">
        <v>1</v>
      </c>
    </row>
    <row r="5" spans="1:17" x14ac:dyDescent="0.3">
      <c r="A5">
        <v>4</v>
      </c>
      <c r="B5" t="str">
        <f>HYPERLINK("https://imapinvasives.natureserve.org/imap/services/page/Presence/1355266.html", "View")</f>
        <v>View</v>
      </c>
      <c r="C5">
        <v>1355266</v>
      </c>
      <c r="D5">
        <v>1372898</v>
      </c>
      <c r="E5" t="str">
        <f>HYPERLINK("http://imap3images.s3-website-us-east-1.amazonaws.com/1372898/p/40C3B64D-3ACC-4992-BDE4-C7FC576C8522.jpeg", "View")</f>
        <v>View</v>
      </c>
      <c r="F5" t="s">
        <v>17</v>
      </c>
      <c r="G5" t="s">
        <v>18</v>
      </c>
      <c r="H5">
        <v>324726</v>
      </c>
      <c r="I5" t="str">
        <f>HYPERLINK("https://www.inaturalist.org/taxa/324726-Lycorma-delicatula", "View")</f>
        <v>View</v>
      </c>
      <c r="J5" t="s">
        <v>17</v>
      </c>
      <c r="K5" t="s">
        <v>21</v>
      </c>
      <c r="L5">
        <v>324726</v>
      </c>
      <c r="M5">
        <v>81.28</v>
      </c>
      <c r="N5">
        <v>100</v>
      </c>
      <c r="P5">
        <v>1</v>
      </c>
    </row>
    <row r="6" spans="1:17" x14ac:dyDescent="0.3">
      <c r="A6">
        <v>5</v>
      </c>
      <c r="B6" t="str">
        <f>HYPERLINK("https://imapinvasives.natureserve.org/imap/services/page/Presence/1303110.html", "View")</f>
        <v>View</v>
      </c>
      <c r="C6">
        <v>1303110</v>
      </c>
      <c r="D6">
        <v>1313527</v>
      </c>
      <c r="E6" t="str">
        <f>HYPERLINK("http://imap3images.s3-website-us-east-1.amazonaws.com/1313527/p/imap_app_photo_1666892087986.jpg", "View")</f>
        <v>View</v>
      </c>
      <c r="F6" t="s">
        <v>17</v>
      </c>
      <c r="G6" t="s">
        <v>18</v>
      </c>
      <c r="H6">
        <v>324726</v>
      </c>
      <c r="I6" t="str">
        <f>HYPERLINK("https://www.inaturalist.org/taxa/324726-Lycorma-delicatula", "View")</f>
        <v>View</v>
      </c>
      <c r="J6" t="s">
        <v>17</v>
      </c>
      <c r="K6" t="s">
        <v>21</v>
      </c>
      <c r="L6">
        <v>324726</v>
      </c>
      <c r="M6">
        <v>81.28</v>
      </c>
      <c r="N6">
        <v>99.74</v>
      </c>
      <c r="P6">
        <v>1</v>
      </c>
    </row>
    <row r="7" spans="1:17" x14ac:dyDescent="0.3">
      <c r="A7">
        <v>6</v>
      </c>
      <c r="B7" t="str">
        <f>HYPERLINK("https://imapinvasives.natureserve.org/imap/services/page/Presence/1251434.html", "View")</f>
        <v>View</v>
      </c>
      <c r="C7">
        <v>1251434</v>
      </c>
      <c r="D7">
        <v>1259753</v>
      </c>
      <c r="E7" t="str">
        <f>HYPERLINK("http://imap3images.s3-website-us-east-1.amazonaws.com/1259753/p/imap_app_photo_1644612164084.jpg", "View")</f>
        <v>View</v>
      </c>
      <c r="F7" t="s">
        <v>17</v>
      </c>
      <c r="G7" t="s">
        <v>18</v>
      </c>
      <c r="H7">
        <v>324726</v>
      </c>
      <c r="I7" t="str">
        <f>HYPERLINK("https://www.inaturalist.org/taxa/155082-Amandinea-punctata", "View")</f>
        <v>View</v>
      </c>
      <c r="J7" t="s">
        <v>22</v>
      </c>
      <c r="K7" t="s">
        <v>23</v>
      </c>
      <c r="L7">
        <v>155082</v>
      </c>
      <c r="M7">
        <v>1.1399999999999999</v>
      </c>
      <c r="N7">
        <v>11.9</v>
      </c>
      <c r="P7">
        <v>0</v>
      </c>
    </row>
    <row r="8" spans="1:17" x14ac:dyDescent="0.3">
      <c r="A8">
        <v>7</v>
      </c>
      <c r="B8" t="str">
        <f>HYPERLINK("https://imapinvasives.natureserve.org/imap/services/page/Presence/1355273.html", "View")</f>
        <v>View</v>
      </c>
      <c r="C8">
        <v>1355273</v>
      </c>
      <c r="D8">
        <v>1372905</v>
      </c>
      <c r="E8" t="str">
        <f>HYPERLINK("http://imap3images.s3-website-us-east-1.amazonaws.com/1372905/p/20230824_140509.jpg", "View")</f>
        <v>View</v>
      </c>
      <c r="F8" t="s">
        <v>17</v>
      </c>
      <c r="G8" t="s">
        <v>18</v>
      </c>
      <c r="H8">
        <v>324726</v>
      </c>
      <c r="I8" t="str">
        <f>HYPERLINK("https://www.inaturalist.org/taxa/49884-Betula-populifolia", "View")</f>
        <v>View</v>
      </c>
      <c r="J8" t="s">
        <v>24</v>
      </c>
      <c r="K8" t="s">
        <v>25</v>
      </c>
      <c r="L8">
        <v>49884</v>
      </c>
      <c r="M8">
        <v>52.07</v>
      </c>
      <c r="N8">
        <v>13.82</v>
      </c>
      <c r="P8">
        <v>0</v>
      </c>
    </row>
    <row r="9" spans="1:17" x14ac:dyDescent="0.3">
      <c r="A9">
        <v>8</v>
      </c>
      <c r="B9" t="str">
        <f>HYPERLINK("https://imapinvasives.natureserve.org/imap/services/page/Presence/1153172.html", "View")</f>
        <v>View</v>
      </c>
      <c r="C9">
        <v>1153172</v>
      </c>
      <c r="D9">
        <v>1160131</v>
      </c>
      <c r="E9" t="str">
        <f>HYPERLINK("http://imap3images.s3-website-us-east-1.amazonaws.com/1160131/p/imap_app_photo_1627579803726.jpg", "View")</f>
        <v>View</v>
      </c>
      <c r="F9" t="s">
        <v>17</v>
      </c>
      <c r="G9" t="s">
        <v>18</v>
      </c>
      <c r="H9">
        <v>324726</v>
      </c>
      <c r="I9" t="str">
        <f t="shared" ref="I9:I15" si="0">HYPERLINK("https://www.inaturalist.org/taxa/324726-Lycorma-delicatula", "View")</f>
        <v>View</v>
      </c>
      <c r="J9" t="s">
        <v>17</v>
      </c>
      <c r="K9" t="s">
        <v>21</v>
      </c>
      <c r="L9">
        <v>324726</v>
      </c>
      <c r="M9">
        <v>81.28</v>
      </c>
      <c r="N9">
        <v>99.52</v>
      </c>
      <c r="P9">
        <v>1</v>
      </c>
    </row>
    <row r="10" spans="1:17" x14ac:dyDescent="0.3">
      <c r="A10">
        <v>9</v>
      </c>
      <c r="B10" t="str">
        <f>HYPERLINK("https://imapinvasives.natureserve.org/imap/services/page/Presence/1335781.html", "View")</f>
        <v>View</v>
      </c>
      <c r="C10">
        <v>1335781</v>
      </c>
      <c r="D10">
        <v>1350121</v>
      </c>
      <c r="E10" t="str">
        <f>HYPERLINK("http://imap3images.s3-website-us-east-1.amazonaws.com/1350121/p/imap_app_photo_1687266457274.jpg", "View")</f>
        <v>View</v>
      </c>
      <c r="F10" t="s">
        <v>17</v>
      </c>
      <c r="G10" t="s">
        <v>18</v>
      </c>
      <c r="H10">
        <v>324726</v>
      </c>
      <c r="I10" t="str">
        <f t="shared" si="0"/>
        <v>View</v>
      </c>
      <c r="J10" t="s">
        <v>17</v>
      </c>
      <c r="K10" t="s">
        <v>21</v>
      </c>
      <c r="L10">
        <v>324726</v>
      </c>
      <c r="M10">
        <v>81.28</v>
      </c>
      <c r="N10">
        <v>98.18</v>
      </c>
      <c r="P10">
        <v>1</v>
      </c>
    </row>
    <row r="11" spans="1:17" x14ac:dyDescent="0.3">
      <c r="A11">
        <v>10</v>
      </c>
      <c r="B11" t="str">
        <f>HYPERLINK("https://imapinvasives.natureserve.org/imap/services/page/Presence/1275197.html", "View")</f>
        <v>View</v>
      </c>
      <c r="C11">
        <v>1275197</v>
      </c>
      <c r="D11">
        <v>1284522</v>
      </c>
      <c r="E11" t="str">
        <f>HYPERLINK("http://imap3images.s3-website-us-east-1.amazonaws.com/1284522/p/imap_app_photo_1655402412092.jpg", "View")</f>
        <v>View</v>
      </c>
      <c r="F11" t="s">
        <v>17</v>
      </c>
      <c r="G11" t="s">
        <v>18</v>
      </c>
      <c r="H11">
        <v>324726</v>
      </c>
      <c r="I11" t="str">
        <f t="shared" si="0"/>
        <v>View</v>
      </c>
      <c r="J11" t="s">
        <v>17</v>
      </c>
      <c r="K11" t="s">
        <v>21</v>
      </c>
      <c r="L11">
        <v>324726</v>
      </c>
      <c r="M11">
        <v>81.28</v>
      </c>
      <c r="N11">
        <v>99.14</v>
      </c>
      <c r="P11">
        <v>1</v>
      </c>
    </row>
    <row r="12" spans="1:17" x14ac:dyDescent="0.3">
      <c r="A12">
        <v>11</v>
      </c>
      <c r="B12" t="str">
        <f>HYPERLINK("https://imapinvasives.natureserve.org/imap/services/page/Presence/1272655.html", "View")</f>
        <v>View</v>
      </c>
      <c r="C12">
        <v>1272655</v>
      </c>
      <c r="D12">
        <v>1281707</v>
      </c>
      <c r="E12" t="str">
        <f>HYPERLINK("http://imap3images.s3-website-us-east-1.amazonaws.com/1281707/p/inat_photo_199538543.jpg", "View")</f>
        <v>View</v>
      </c>
      <c r="F12" t="s">
        <v>17</v>
      </c>
      <c r="G12" t="s">
        <v>18</v>
      </c>
      <c r="H12">
        <v>324726</v>
      </c>
      <c r="I12" t="str">
        <f t="shared" si="0"/>
        <v>View</v>
      </c>
      <c r="J12" t="s">
        <v>17</v>
      </c>
      <c r="K12" t="s">
        <v>21</v>
      </c>
      <c r="L12">
        <v>324726</v>
      </c>
      <c r="M12">
        <v>81.28</v>
      </c>
      <c r="N12">
        <v>99.85</v>
      </c>
      <c r="P12">
        <v>1</v>
      </c>
    </row>
    <row r="13" spans="1:17" x14ac:dyDescent="0.3">
      <c r="A13">
        <v>12</v>
      </c>
      <c r="B13" t="str">
        <f>HYPERLINK("https://imapinvasives.natureserve.org/imap/services/page/Presence/1303171.html", "View")</f>
        <v>View</v>
      </c>
      <c r="C13">
        <v>1303171</v>
      </c>
      <c r="D13">
        <v>1313593</v>
      </c>
      <c r="E13" t="str">
        <f>HYPERLINK("http://imap3images.s3-website-us-east-1.amazonaws.com/1313593/p/imap_app_photo_1666900012791.jpg", "View")</f>
        <v>View</v>
      </c>
      <c r="F13" t="s">
        <v>17</v>
      </c>
      <c r="G13" t="s">
        <v>18</v>
      </c>
      <c r="H13">
        <v>324726</v>
      </c>
      <c r="I13" t="str">
        <f t="shared" si="0"/>
        <v>View</v>
      </c>
      <c r="J13" t="s">
        <v>17</v>
      </c>
      <c r="K13" t="s">
        <v>21</v>
      </c>
      <c r="L13">
        <v>324726</v>
      </c>
      <c r="M13">
        <v>81.28</v>
      </c>
      <c r="N13">
        <v>99.85</v>
      </c>
      <c r="P13">
        <v>1</v>
      </c>
    </row>
    <row r="14" spans="1:17" x14ac:dyDescent="0.3">
      <c r="A14">
        <v>13</v>
      </c>
      <c r="B14" t="str">
        <f>HYPERLINK("https://imapinvasives.natureserve.org/imap/services/page/Presence/1163326.html", "View")</f>
        <v>View</v>
      </c>
      <c r="C14">
        <v>1163326</v>
      </c>
      <c r="D14">
        <v>1170514</v>
      </c>
      <c r="E14" t="str">
        <f>HYPERLINK("http://imap3images.s3-website-us-east-1.amazonaws.com/1170514/p/inat_photo_156708420.jpg", "View")</f>
        <v>View</v>
      </c>
      <c r="F14" t="s">
        <v>17</v>
      </c>
      <c r="G14" t="s">
        <v>18</v>
      </c>
      <c r="H14">
        <v>324726</v>
      </c>
      <c r="I14" t="str">
        <f t="shared" si="0"/>
        <v>View</v>
      </c>
      <c r="J14" t="s">
        <v>17</v>
      </c>
      <c r="K14" t="s">
        <v>21</v>
      </c>
      <c r="L14">
        <v>324726</v>
      </c>
      <c r="M14">
        <v>81.28</v>
      </c>
      <c r="N14">
        <v>99.96</v>
      </c>
      <c r="P14">
        <v>1</v>
      </c>
    </row>
    <row r="15" spans="1:17" x14ac:dyDescent="0.3">
      <c r="A15">
        <v>14</v>
      </c>
      <c r="B15" t="str">
        <f>HYPERLINK("https://imapinvasives.natureserve.org/imap/services/page/Presence/1165050.html", "View")</f>
        <v>View</v>
      </c>
      <c r="C15">
        <v>1165050</v>
      </c>
      <c r="D15">
        <v>1172309</v>
      </c>
      <c r="E15" t="str">
        <f>HYPERLINK("http://imap3images.s3-website-us-east-1.amazonaws.com/1172309/p/inat_photo_159651539.jpg", "View")</f>
        <v>View</v>
      </c>
      <c r="F15" t="s">
        <v>17</v>
      </c>
      <c r="G15" t="s">
        <v>18</v>
      </c>
      <c r="H15">
        <v>324726</v>
      </c>
      <c r="I15" t="str">
        <f t="shared" si="0"/>
        <v>View</v>
      </c>
      <c r="J15" t="s">
        <v>17</v>
      </c>
      <c r="K15" t="s">
        <v>21</v>
      </c>
      <c r="L15">
        <v>324726</v>
      </c>
      <c r="M15">
        <v>81.28</v>
      </c>
      <c r="N15">
        <v>99.95</v>
      </c>
      <c r="P15">
        <v>1</v>
      </c>
    </row>
    <row r="16" spans="1:17" x14ac:dyDescent="0.3">
      <c r="A16">
        <v>15</v>
      </c>
      <c r="B16" t="str">
        <f>HYPERLINK("https://imapinvasives.natureserve.org/imap/services/page/Presence/1434907.html", "View")</f>
        <v>View</v>
      </c>
      <c r="C16">
        <v>1434907</v>
      </c>
      <c r="D16">
        <v>1448597</v>
      </c>
      <c r="E16" t="str">
        <f>HYPERLINK("http://imap3images.s3-website-us-east-1.amazonaws.com/1448597/p/Lantern_Flies.jpg", "View")</f>
        <v>View</v>
      </c>
      <c r="F16" t="s">
        <v>17</v>
      </c>
      <c r="G16" t="s">
        <v>18</v>
      </c>
      <c r="H16">
        <v>324726</v>
      </c>
      <c r="I16" t="str">
        <f>HYPERLINK("https://www.inaturalist.org/taxa/143979-Thelia-bimaculata", "View")</f>
        <v>View</v>
      </c>
      <c r="J16" t="s">
        <v>26</v>
      </c>
      <c r="K16" t="s">
        <v>27</v>
      </c>
      <c r="L16">
        <v>143979</v>
      </c>
      <c r="M16">
        <v>13.49</v>
      </c>
      <c r="N16">
        <v>13.3</v>
      </c>
      <c r="P16">
        <v>0</v>
      </c>
    </row>
    <row r="17" spans="1:16" x14ac:dyDescent="0.3">
      <c r="A17">
        <v>16</v>
      </c>
      <c r="B17" t="str">
        <f>HYPERLINK("https://imapinvasives.natureserve.org/imap/services/page/Presence/1159069.html", "View")</f>
        <v>View</v>
      </c>
      <c r="C17">
        <v>1159069</v>
      </c>
      <c r="D17">
        <v>1166145</v>
      </c>
      <c r="E17" t="str">
        <f>HYPERLINK("http://imap3images.s3-website-us-east-1.amazonaws.com/1166145/p/inat_photo_150799182.jpg", "View")</f>
        <v>View</v>
      </c>
      <c r="F17" t="s">
        <v>17</v>
      </c>
      <c r="G17" t="s">
        <v>18</v>
      </c>
      <c r="H17">
        <v>324726</v>
      </c>
      <c r="I17" t="str">
        <f t="shared" ref="I17:I31" si="1">HYPERLINK("https://www.inaturalist.org/taxa/324726-Lycorma-delicatula", "View")</f>
        <v>View</v>
      </c>
      <c r="J17" t="s">
        <v>17</v>
      </c>
      <c r="K17" t="s">
        <v>21</v>
      </c>
      <c r="L17">
        <v>324726</v>
      </c>
      <c r="M17">
        <v>81.28</v>
      </c>
      <c r="N17">
        <v>99.81</v>
      </c>
      <c r="P17">
        <v>1</v>
      </c>
    </row>
    <row r="18" spans="1:16" x14ac:dyDescent="0.3">
      <c r="A18">
        <v>17</v>
      </c>
      <c r="B18" t="str">
        <f>HYPERLINK("https://imapinvasives.natureserve.org/imap/services/page/Presence/1275189.html", "View")</f>
        <v>View</v>
      </c>
      <c r="C18">
        <v>1275189</v>
      </c>
      <c r="D18">
        <v>1284514</v>
      </c>
      <c r="E18" t="str">
        <f>HYPERLINK("http://imap3images.s3-website-us-east-1.amazonaws.com/1284514/p/imap_app_photo_1655394180368.jpg", "View")</f>
        <v>View</v>
      </c>
      <c r="F18" t="s">
        <v>17</v>
      </c>
      <c r="G18" t="s">
        <v>18</v>
      </c>
      <c r="H18">
        <v>324726</v>
      </c>
      <c r="I18" t="str">
        <f t="shared" si="1"/>
        <v>View</v>
      </c>
      <c r="J18" t="s">
        <v>17</v>
      </c>
      <c r="K18" t="s">
        <v>21</v>
      </c>
      <c r="L18">
        <v>324726</v>
      </c>
      <c r="M18">
        <v>81.28</v>
      </c>
      <c r="N18">
        <v>99.96</v>
      </c>
      <c r="P18">
        <v>1</v>
      </c>
    </row>
    <row r="19" spans="1:16" x14ac:dyDescent="0.3">
      <c r="A19">
        <v>18</v>
      </c>
      <c r="B19" t="str">
        <f>HYPERLINK("https://imapinvasives.natureserve.org/imap/services/page/Presence/1308949.html", "View")</f>
        <v>View</v>
      </c>
      <c r="C19">
        <v>1308949</v>
      </c>
      <c r="D19">
        <v>1319432</v>
      </c>
      <c r="E19" t="str">
        <f>HYPERLINK("http://imap3images.s3-website-us-east-1.amazonaws.com/1319432/p/imap_app_photo_1669000277888.jpg", "View")</f>
        <v>View</v>
      </c>
      <c r="F19" t="s">
        <v>17</v>
      </c>
      <c r="G19" t="s">
        <v>18</v>
      </c>
      <c r="H19">
        <v>324726</v>
      </c>
      <c r="I19" t="str">
        <f t="shared" si="1"/>
        <v>View</v>
      </c>
      <c r="J19" t="s">
        <v>17</v>
      </c>
      <c r="K19" t="s">
        <v>21</v>
      </c>
      <c r="L19">
        <v>324726</v>
      </c>
      <c r="M19">
        <v>81.28</v>
      </c>
      <c r="N19">
        <v>99.09</v>
      </c>
      <c r="P19">
        <v>1</v>
      </c>
    </row>
    <row r="20" spans="1:16" x14ac:dyDescent="0.3">
      <c r="A20">
        <v>19</v>
      </c>
      <c r="B20" t="str">
        <f>HYPERLINK("https://imapinvasives.natureserve.org/imap/services/page/Presence/1275482.html", "View")</f>
        <v>View</v>
      </c>
      <c r="C20">
        <v>1275482</v>
      </c>
      <c r="D20">
        <v>1284826</v>
      </c>
      <c r="E20" t="str">
        <f>HYPERLINK("http://imap3images.s3-website-us-east-1.amazonaws.com/1284826/p/imap_app_photo_1655737606764.jpg", "View")</f>
        <v>View</v>
      </c>
      <c r="F20" t="s">
        <v>17</v>
      </c>
      <c r="G20" t="s">
        <v>18</v>
      </c>
      <c r="H20">
        <v>324726</v>
      </c>
      <c r="I20" t="str">
        <f t="shared" si="1"/>
        <v>View</v>
      </c>
      <c r="J20" t="s">
        <v>17</v>
      </c>
      <c r="K20" t="s">
        <v>21</v>
      </c>
      <c r="L20">
        <v>324726</v>
      </c>
      <c r="M20">
        <v>81.28</v>
      </c>
      <c r="N20">
        <v>99.89</v>
      </c>
      <c r="P20">
        <v>1</v>
      </c>
    </row>
    <row r="21" spans="1:16" x14ac:dyDescent="0.3">
      <c r="A21">
        <v>20</v>
      </c>
      <c r="B21" t="str">
        <f>HYPERLINK("https://imapinvasives.natureserve.org/imap/services/page/Presence/1335780.html", "View")</f>
        <v>View</v>
      </c>
      <c r="C21">
        <v>1335780</v>
      </c>
      <c r="D21">
        <v>1350120</v>
      </c>
      <c r="E21" t="str">
        <f>HYPERLINK("http://imap3images.s3-website-us-east-1.amazonaws.com/1350120/p/imap_app_photo_1687266376631.jpg", "View")</f>
        <v>View</v>
      </c>
      <c r="F21" t="s">
        <v>17</v>
      </c>
      <c r="G21" t="s">
        <v>18</v>
      </c>
      <c r="H21">
        <v>324726</v>
      </c>
      <c r="I21" t="str">
        <f t="shared" si="1"/>
        <v>View</v>
      </c>
      <c r="J21" t="s">
        <v>17</v>
      </c>
      <c r="K21" t="s">
        <v>21</v>
      </c>
      <c r="L21">
        <v>324726</v>
      </c>
      <c r="M21">
        <v>81.28</v>
      </c>
      <c r="N21">
        <v>99.92</v>
      </c>
      <c r="P21">
        <v>1</v>
      </c>
    </row>
    <row r="22" spans="1:16" x14ac:dyDescent="0.3">
      <c r="A22">
        <v>21</v>
      </c>
      <c r="B22" t="str">
        <f>HYPERLINK("https://imapinvasives.natureserve.org/imap/services/page/Presence/1158040.html", "View")</f>
        <v>View</v>
      </c>
      <c r="C22">
        <v>1158040</v>
      </c>
      <c r="D22">
        <v>1165098</v>
      </c>
      <c r="E22" t="str">
        <f>HYPERLINK("http://imap3images.s3-website-us-east-1.amazonaws.com/1165098/p/inat_photo_150249735.jpg", "View")</f>
        <v>View</v>
      </c>
      <c r="F22" t="s">
        <v>17</v>
      </c>
      <c r="G22" t="s">
        <v>18</v>
      </c>
      <c r="H22">
        <v>324726</v>
      </c>
      <c r="I22" t="str">
        <f t="shared" si="1"/>
        <v>View</v>
      </c>
      <c r="J22" t="s">
        <v>17</v>
      </c>
      <c r="K22" t="s">
        <v>21</v>
      </c>
      <c r="L22">
        <v>324726</v>
      </c>
      <c r="M22">
        <v>81.28</v>
      </c>
      <c r="N22">
        <v>99.64</v>
      </c>
      <c r="P22">
        <v>1</v>
      </c>
    </row>
    <row r="23" spans="1:16" x14ac:dyDescent="0.3">
      <c r="A23">
        <v>22</v>
      </c>
      <c r="B23" t="str">
        <f>HYPERLINK("https://imapinvasives.natureserve.org/imap/services/page/Presence/1355259.html", "View")</f>
        <v>View</v>
      </c>
      <c r="C23">
        <v>1355259</v>
      </c>
      <c r="D23">
        <v>1372891</v>
      </c>
      <c r="E23" t="str">
        <f>HYPERLINK("http://imap3images.s3-website-us-east-1.amazonaws.com/1372891/p/670754E9-30F1-4AE6-A4D4-F6D58FC8B353.jpeg", "View")</f>
        <v>View</v>
      </c>
      <c r="F23" t="s">
        <v>17</v>
      </c>
      <c r="G23" t="s">
        <v>18</v>
      </c>
      <c r="H23">
        <v>324726</v>
      </c>
      <c r="I23" t="str">
        <f t="shared" si="1"/>
        <v>View</v>
      </c>
      <c r="J23" t="s">
        <v>17</v>
      </c>
      <c r="K23" t="s">
        <v>21</v>
      </c>
      <c r="L23">
        <v>324726</v>
      </c>
      <c r="M23">
        <v>81.28</v>
      </c>
      <c r="N23">
        <v>99.99</v>
      </c>
      <c r="P23">
        <v>1</v>
      </c>
    </row>
    <row r="24" spans="1:16" x14ac:dyDescent="0.3">
      <c r="A24">
        <v>23</v>
      </c>
      <c r="B24" t="str">
        <f>HYPERLINK("https://imapinvasives.natureserve.org/imap/services/page/Presence/1351709.html", "View")</f>
        <v>View</v>
      </c>
      <c r="C24">
        <v>1351709</v>
      </c>
      <c r="D24">
        <v>1369055</v>
      </c>
      <c r="E24" t="str">
        <f>HYPERLINK("http://imap3images.s3-website-us-east-1.amazonaws.com/1369055/p/imap_app_photo_1693673456729.jpg", "View")</f>
        <v>View</v>
      </c>
      <c r="F24" t="s">
        <v>17</v>
      </c>
      <c r="G24" t="s">
        <v>18</v>
      </c>
      <c r="H24">
        <v>324726</v>
      </c>
      <c r="I24" t="str">
        <f t="shared" si="1"/>
        <v>View</v>
      </c>
      <c r="J24" t="s">
        <v>17</v>
      </c>
      <c r="K24" t="s">
        <v>21</v>
      </c>
      <c r="L24">
        <v>324726</v>
      </c>
      <c r="M24">
        <v>81.28</v>
      </c>
      <c r="N24">
        <v>99.98</v>
      </c>
      <c r="P24">
        <v>1</v>
      </c>
    </row>
    <row r="25" spans="1:16" x14ac:dyDescent="0.3">
      <c r="A25">
        <v>24</v>
      </c>
      <c r="B25" t="str">
        <f>HYPERLINK("https://imapinvasives.natureserve.org/imap/services/page/Presence/1296965.html", "View")</f>
        <v>View</v>
      </c>
      <c r="C25">
        <v>1296965</v>
      </c>
      <c r="D25">
        <v>1307195</v>
      </c>
      <c r="E25" t="str">
        <f>HYPERLINK("http://imap3images.s3-website-us-east-1.amazonaws.com/1307195/p/imap_app_photo_1663787769428.jpg", "View")</f>
        <v>View</v>
      </c>
      <c r="F25" t="s">
        <v>17</v>
      </c>
      <c r="G25" t="s">
        <v>18</v>
      </c>
      <c r="H25">
        <v>324726</v>
      </c>
      <c r="I25" t="str">
        <f t="shared" si="1"/>
        <v>View</v>
      </c>
      <c r="J25" t="s">
        <v>17</v>
      </c>
      <c r="K25" t="s">
        <v>21</v>
      </c>
      <c r="L25">
        <v>324726</v>
      </c>
      <c r="M25">
        <v>81.28</v>
      </c>
      <c r="N25">
        <v>99.45</v>
      </c>
      <c r="P25">
        <v>1</v>
      </c>
    </row>
    <row r="26" spans="1:16" x14ac:dyDescent="0.3">
      <c r="A26">
        <v>25</v>
      </c>
      <c r="B26" t="str">
        <f>HYPERLINK("https://imapinvasives.natureserve.org/imap/services/page/Presence/1160966.html", "View")</f>
        <v>View</v>
      </c>
      <c r="C26">
        <v>1160966</v>
      </c>
      <c r="D26">
        <v>1168107</v>
      </c>
      <c r="E26" t="str">
        <f>HYPERLINK("http://imap3images.s3-website-us-east-1.amazonaws.com/1168107/p/imap_app_photo_1630513860844.jpg", "View")</f>
        <v>View</v>
      </c>
      <c r="F26" t="s">
        <v>17</v>
      </c>
      <c r="G26" t="s">
        <v>18</v>
      </c>
      <c r="H26">
        <v>324726</v>
      </c>
      <c r="I26" t="str">
        <f t="shared" si="1"/>
        <v>View</v>
      </c>
      <c r="J26" t="s">
        <v>17</v>
      </c>
      <c r="K26" t="s">
        <v>21</v>
      </c>
      <c r="L26">
        <v>324726</v>
      </c>
      <c r="M26">
        <v>81.28</v>
      </c>
      <c r="N26">
        <v>99.29</v>
      </c>
      <c r="P26">
        <v>1</v>
      </c>
    </row>
    <row r="27" spans="1:16" x14ac:dyDescent="0.3">
      <c r="A27">
        <v>26</v>
      </c>
      <c r="B27" t="str">
        <f>HYPERLINK("https://imapinvasives.natureserve.org/imap/services/page/Presence/1289311.html", "View")</f>
        <v>View</v>
      </c>
      <c r="C27">
        <v>1289311</v>
      </c>
      <c r="D27">
        <v>1299415</v>
      </c>
      <c r="E27" t="str">
        <f>HYPERLINK("http://imap3images.s3-website-us-east-1.amazonaws.com/1299415/p/imap_app_photo_1661464268524.jpg", "View")</f>
        <v>View</v>
      </c>
      <c r="F27" t="s">
        <v>17</v>
      </c>
      <c r="G27" t="s">
        <v>18</v>
      </c>
      <c r="H27">
        <v>324726</v>
      </c>
      <c r="I27" t="str">
        <f t="shared" si="1"/>
        <v>View</v>
      </c>
      <c r="J27" t="s">
        <v>17</v>
      </c>
      <c r="K27" t="s">
        <v>21</v>
      </c>
      <c r="L27">
        <v>324726</v>
      </c>
      <c r="M27">
        <v>81.28</v>
      </c>
      <c r="N27">
        <v>99.89</v>
      </c>
      <c r="P27">
        <v>1</v>
      </c>
    </row>
    <row r="28" spans="1:16" x14ac:dyDescent="0.3">
      <c r="A28">
        <v>27</v>
      </c>
      <c r="B28" t="str">
        <f>HYPERLINK("https://imapinvasives.natureserve.org/imap/services/page/Presence/1164452.html", "View")</f>
        <v>View</v>
      </c>
      <c r="C28">
        <v>1164452</v>
      </c>
      <c r="D28">
        <v>1171683</v>
      </c>
      <c r="E28" t="str">
        <f>HYPERLINK("http://imap3images.s3-website-us-east-1.amazonaws.com/1171683/p/imap_app_photo_1632254974204.jpg", "View")</f>
        <v>View</v>
      </c>
      <c r="F28" t="s">
        <v>17</v>
      </c>
      <c r="G28" t="s">
        <v>18</v>
      </c>
      <c r="H28">
        <v>324726</v>
      </c>
      <c r="I28" t="str">
        <f t="shared" si="1"/>
        <v>View</v>
      </c>
      <c r="J28" t="s">
        <v>17</v>
      </c>
      <c r="K28" t="s">
        <v>21</v>
      </c>
      <c r="L28">
        <v>324726</v>
      </c>
      <c r="M28">
        <v>81.28</v>
      </c>
      <c r="N28">
        <v>99.44</v>
      </c>
      <c r="P28">
        <v>1</v>
      </c>
    </row>
    <row r="29" spans="1:16" x14ac:dyDescent="0.3">
      <c r="A29">
        <v>28</v>
      </c>
      <c r="B29" t="str">
        <f>HYPERLINK("https://imapinvasives.natureserve.org/imap/services/page/Presence/1281417.html", "View")</f>
        <v>View</v>
      </c>
      <c r="C29">
        <v>1281417</v>
      </c>
      <c r="D29">
        <v>1290831</v>
      </c>
      <c r="E29" t="str">
        <f>HYPERLINK("http://imap3images.s3-website-us-east-1.amazonaws.com/1290831/p/imap_app_photo_1657125920654.jpg", "View")</f>
        <v>View</v>
      </c>
      <c r="F29" t="s">
        <v>17</v>
      </c>
      <c r="G29" t="s">
        <v>18</v>
      </c>
      <c r="H29">
        <v>324726</v>
      </c>
      <c r="I29" t="str">
        <f t="shared" si="1"/>
        <v>View</v>
      </c>
      <c r="J29" t="s">
        <v>17</v>
      </c>
      <c r="K29" t="s">
        <v>21</v>
      </c>
      <c r="L29">
        <v>324726</v>
      </c>
      <c r="M29">
        <v>3.27</v>
      </c>
      <c r="N29">
        <v>68.3</v>
      </c>
      <c r="P29">
        <v>1</v>
      </c>
    </row>
    <row r="30" spans="1:16" x14ac:dyDescent="0.3">
      <c r="A30">
        <v>29</v>
      </c>
      <c r="B30" t="str">
        <f>HYPERLINK("https://imapinvasives.natureserve.org/imap/services/page/Presence/1442549.html", "View")</f>
        <v>View</v>
      </c>
      <c r="C30">
        <v>1442549</v>
      </c>
      <c r="D30">
        <v>1457124</v>
      </c>
      <c r="E30" t="str">
        <f>HYPERLINK("http://imap3images.s3-website-us-east-1.amazonaws.com/1457124/p/inat_photo_423377870.jpg", "View")</f>
        <v>View</v>
      </c>
      <c r="F30" t="s">
        <v>17</v>
      </c>
      <c r="G30" t="s">
        <v>18</v>
      </c>
      <c r="H30">
        <v>324726</v>
      </c>
      <c r="I30" t="str">
        <f t="shared" si="1"/>
        <v>View</v>
      </c>
      <c r="J30" t="s">
        <v>17</v>
      </c>
      <c r="K30" t="s">
        <v>21</v>
      </c>
      <c r="L30">
        <v>324726</v>
      </c>
      <c r="M30">
        <v>4.03</v>
      </c>
      <c r="N30">
        <v>97.48</v>
      </c>
      <c r="P30">
        <v>1</v>
      </c>
    </row>
    <row r="31" spans="1:16" x14ac:dyDescent="0.3">
      <c r="A31">
        <v>30</v>
      </c>
      <c r="B31" t="str">
        <f>HYPERLINK("https://imapinvasives.natureserve.org/imap/services/page/Presence/1363058.html", "View")</f>
        <v>View</v>
      </c>
      <c r="C31">
        <v>1363058</v>
      </c>
      <c r="D31">
        <v>1380828</v>
      </c>
      <c r="E31" t="str">
        <f>HYPERLINK("http://imap3images.s3-website-us-east-1.amazonaws.com/1380828/p/IMG_2528.JPG", "View")</f>
        <v>View</v>
      </c>
      <c r="F31" t="s">
        <v>17</v>
      </c>
      <c r="G31" t="s">
        <v>18</v>
      </c>
      <c r="H31">
        <v>324726</v>
      </c>
      <c r="I31" t="str">
        <f t="shared" si="1"/>
        <v>View</v>
      </c>
      <c r="J31" t="s">
        <v>17</v>
      </c>
      <c r="K31" t="s">
        <v>21</v>
      </c>
      <c r="L31">
        <v>324726</v>
      </c>
      <c r="M31">
        <v>3.27</v>
      </c>
      <c r="N31">
        <v>74.290000000000006</v>
      </c>
      <c r="P31">
        <v>1</v>
      </c>
    </row>
    <row r="32" spans="1:16" x14ac:dyDescent="0.3">
      <c r="A32">
        <v>31</v>
      </c>
      <c r="B32" t="str">
        <f>HYPERLINK("https://imapinvasives.natureserve.org/imap/services/page/Presence/1443955.html", "View")</f>
        <v>View</v>
      </c>
      <c r="C32">
        <v>1443955</v>
      </c>
      <c r="D32">
        <v>1458606</v>
      </c>
      <c r="E32" t="str">
        <f>HYPERLINK("http://imap3images.s3-website-us-east-1.amazonaws.com/1458606/p/Spotted_Lanternfly_and_Tree_of_Heaven.jpeg", "View")</f>
        <v>View</v>
      </c>
      <c r="F32" t="s">
        <v>28</v>
      </c>
      <c r="G32" t="s">
        <v>29</v>
      </c>
      <c r="H32">
        <v>57278</v>
      </c>
      <c r="I32" t="str">
        <f>HYPERLINK("https://www.inaturalist.org/taxa/607305-Antiteuchus-tripterus", "View")</f>
        <v>View</v>
      </c>
      <c r="J32" t="s">
        <v>30</v>
      </c>
      <c r="K32" t="s">
        <v>31</v>
      </c>
      <c r="L32">
        <v>607305</v>
      </c>
      <c r="M32">
        <v>0</v>
      </c>
      <c r="N32">
        <v>10.81</v>
      </c>
      <c r="P32">
        <v>0</v>
      </c>
    </row>
    <row r="33" spans="1:16" x14ac:dyDescent="0.3">
      <c r="A33">
        <v>31</v>
      </c>
      <c r="B33" t="str">
        <f>HYPERLINK("https://imapinvasives.natureserve.org/imap/services/page/Presence/1443955.html", "View")</f>
        <v>View</v>
      </c>
      <c r="C33">
        <v>1443955</v>
      </c>
      <c r="D33">
        <v>1458607</v>
      </c>
      <c r="E33" t="str">
        <f>HYPERLINK("http://imap3images.s3-website-us-east-1.amazonaws.com/1458607/p/Spotted_Lanternfly_and_Tree_of_Heaven.jpeg", "View")</f>
        <v>View</v>
      </c>
      <c r="F33" t="s">
        <v>17</v>
      </c>
      <c r="G33" t="s">
        <v>18</v>
      </c>
      <c r="H33">
        <v>324726</v>
      </c>
      <c r="I33" t="str">
        <f>HYPERLINK("https://www.inaturalist.org/taxa/607305-Antiteuchus-tripterus", "View")</f>
        <v>View</v>
      </c>
      <c r="J33" t="s">
        <v>30</v>
      </c>
      <c r="K33" t="s">
        <v>31</v>
      </c>
      <c r="L33">
        <v>607305</v>
      </c>
      <c r="M33">
        <v>0</v>
      </c>
      <c r="N33">
        <v>10.81</v>
      </c>
      <c r="P33">
        <v>0</v>
      </c>
    </row>
    <row r="34" spans="1:16" x14ac:dyDescent="0.3">
      <c r="A34">
        <v>32</v>
      </c>
      <c r="B34" t="str">
        <f>HYPERLINK("https://imapinvasives.natureserve.org/imap/services/page/Presence/1363331.html", "View")</f>
        <v>View</v>
      </c>
      <c r="C34">
        <v>1363331</v>
      </c>
      <c r="D34">
        <v>1381154</v>
      </c>
      <c r="E34" t="str">
        <f>HYPERLINK("http://imap3images.s3-website-us-east-1.amazonaws.com/1381154/p/inat_photo_322927293.jpg", "View")</f>
        <v>View</v>
      </c>
      <c r="F34" t="s">
        <v>17</v>
      </c>
      <c r="G34" t="s">
        <v>18</v>
      </c>
      <c r="H34">
        <v>324726</v>
      </c>
      <c r="I34" t="str">
        <f t="shared" ref="I34:I48" si="2">HYPERLINK("https://www.inaturalist.org/taxa/324726-Lycorma-delicatula", "View")</f>
        <v>View</v>
      </c>
      <c r="J34" t="s">
        <v>17</v>
      </c>
      <c r="K34" t="s">
        <v>21</v>
      </c>
      <c r="L34">
        <v>324726</v>
      </c>
      <c r="M34">
        <v>4.03</v>
      </c>
      <c r="N34">
        <v>96.55</v>
      </c>
      <c r="P34">
        <v>1</v>
      </c>
    </row>
    <row r="35" spans="1:16" x14ac:dyDescent="0.3">
      <c r="A35">
        <v>33</v>
      </c>
      <c r="B35" t="str">
        <f>HYPERLINK("https://imapinvasives.natureserve.org/imap/services/page/Presence/1291538.html", "View")</f>
        <v>View</v>
      </c>
      <c r="C35">
        <v>1291538</v>
      </c>
      <c r="D35">
        <v>1301735</v>
      </c>
      <c r="E35" t="str">
        <f>HYPERLINK("http://imap3images.s3-website-us-east-1.amazonaws.com/1301735/p/inat_photo_227404909.jpg", "View")</f>
        <v>View</v>
      </c>
      <c r="F35" t="s">
        <v>17</v>
      </c>
      <c r="G35" t="s">
        <v>18</v>
      </c>
      <c r="H35">
        <v>324726</v>
      </c>
      <c r="I35" t="str">
        <f t="shared" si="2"/>
        <v>View</v>
      </c>
      <c r="J35" t="s">
        <v>17</v>
      </c>
      <c r="K35" t="s">
        <v>21</v>
      </c>
      <c r="L35">
        <v>324726</v>
      </c>
      <c r="M35">
        <v>3.27</v>
      </c>
      <c r="N35">
        <v>98.06</v>
      </c>
      <c r="P35">
        <v>1</v>
      </c>
    </row>
    <row r="36" spans="1:16" x14ac:dyDescent="0.3">
      <c r="A36">
        <v>34</v>
      </c>
      <c r="B36" t="str">
        <f>HYPERLINK("https://imapinvasives.natureserve.org/imap/services/page/Presence/1408723.html", "View")</f>
        <v>View</v>
      </c>
      <c r="C36">
        <v>1408723</v>
      </c>
      <c r="D36">
        <v>1421122</v>
      </c>
      <c r="E36" t="str">
        <f>HYPERLINK("http://imap3images.s3-website-us-east-1.amazonaws.com/1421122/p/imap_app_photo_1716300105310.jpg", "View")</f>
        <v>View</v>
      </c>
      <c r="F36" t="s">
        <v>17</v>
      </c>
      <c r="G36" t="s">
        <v>18</v>
      </c>
      <c r="H36">
        <v>324726</v>
      </c>
      <c r="I36" t="str">
        <f t="shared" si="2"/>
        <v>View</v>
      </c>
      <c r="J36" t="s">
        <v>17</v>
      </c>
      <c r="K36" t="s">
        <v>21</v>
      </c>
      <c r="L36">
        <v>324726</v>
      </c>
      <c r="M36">
        <v>57.71</v>
      </c>
      <c r="N36">
        <v>99.87</v>
      </c>
      <c r="P36">
        <v>1</v>
      </c>
    </row>
    <row r="37" spans="1:16" x14ac:dyDescent="0.3">
      <c r="A37">
        <v>35</v>
      </c>
      <c r="B37" t="str">
        <f>HYPERLINK("https://imapinvasives.natureserve.org/imap/services/page/Presence/1249206.html", "View")</f>
        <v>View</v>
      </c>
      <c r="C37">
        <v>1249206</v>
      </c>
      <c r="D37">
        <v>1257361</v>
      </c>
      <c r="E37" t="str">
        <f>HYPERLINK("http://imap3images.s3-website-us-east-1.amazonaws.com/1257361/p/inat_photo_171119865.jpg", "View")</f>
        <v>View</v>
      </c>
      <c r="F37" t="s">
        <v>17</v>
      </c>
      <c r="G37" t="s">
        <v>18</v>
      </c>
      <c r="H37">
        <v>324726</v>
      </c>
      <c r="I37" t="str">
        <f t="shared" si="2"/>
        <v>View</v>
      </c>
      <c r="J37" t="s">
        <v>17</v>
      </c>
      <c r="K37" t="s">
        <v>21</v>
      </c>
      <c r="L37">
        <v>324726</v>
      </c>
      <c r="M37">
        <v>57.71</v>
      </c>
      <c r="N37">
        <v>99.88</v>
      </c>
      <c r="P37">
        <v>1</v>
      </c>
    </row>
    <row r="38" spans="1:16" x14ac:dyDescent="0.3">
      <c r="A38">
        <v>36</v>
      </c>
      <c r="B38" t="str">
        <f>HYPERLINK("https://imapinvasives.natureserve.org/imap/services/page/Presence/1442709.html", "View")</f>
        <v>View</v>
      </c>
      <c r="C38">
        <v>1442709</v>
      </c>
      <c r="D38">
        <v>1457284</v>
      </c>
      <c r="E38" t="str">
        <f>HYPERLINK("http://imap3images.s3-website-us-east-1.amazonaws.com/1457284/p/20240827_111523.jpg", "View")</f>
        <v>View</v>
      </c>
      <c r="F38" t="s">
        <v>17</v>
      </c>
      <c r="G38" t="s">
        <v>18</v>
      </c>
      <c r="H38">
        <v>324726</v>
      </c>
      <c r="I38" t="str">
        <f t="shared" si="2"/>
        <v>View</v>
      </c>
      <c r="J38" t="s">
        <v>17</v>
      </c>
      <c r="K38" t="s">
        <v>21</v>
      </c>
      <c r="L38">
        <v>324726</v>
      </c>
      <c r="M38">
        <v>30.04</v>
      </c>
      <c r="N38">
        <v>99.79</v>
      </c>
      <c r="P38">
        <v>1</v>
      </c>
    </row>
    <row r="39" spans="1:16" x14ac:dyDescent="0.3">
      <c r="A39">
        <v>37</v>
      </c>
      <c r="B39" t="str">
        <f>HYPERLINK("https://imapinvasives.natureserve.org/imap/services/page/Presence/1416974.html", "View")</f>
        <v>View</v>
      </c>
      <c r="C39">
        <v>1416974</v>
      </c>
      <c r="D39">
        <v>1430621</v>
      </c>
      <c r="E39" t="str">
        <f>HYPERLINK("http://imap3images.s3-website-us-east-1.amazonaws.com/1430621/p/inat_photo_396880254.jpg", "View")</f>
        <v>View</v>
      </c>
      <c r="F39" t="s">
        <v>17</v>
      </c>
      <c r="G39" t="s">
        <v>18</v>
      </c>
      <c r="H39">
        <v>324726</v>
      </c>
      <c r="I39" t="str">
        <f t="shared" si="2"/>
        <v>View</v>
      </c>
      <c r="J39" t="s">
        <v>17</v>
      </c>
      <c r="K39" t="s">
        <v>21</v>
      </c>
      <c r="L39">
        <v>324726</v>
      </c>
      <c r="M39">
        <v>57.71</v>
      </c>
      <c r="N39">
        <v>99.93</v>
      </c>
      <c r="P39">
        <v>1</v>
      </c>
    </row>
    <row r="40" spans="1:16" x14ac:dyDescent="0.3">
      <c r="A40">
        <v>38</v>
      </c>
      <c r="B40" t="str">
        <f>HYPERLINK("https://imapinvasives.natureserve.org/imap/services/page/Presence/1297821.html", "View")</f>
        <v>View</v>
      </c>
      <c r="C40">
        <v>1297821</v>
      </c>
      <c r="D40">
        <v>1308063</v>
      </c>
      <c r="E40" t="str">
        <f>HYPERLINK("http://imap3images.s3-website-us-east-1.amazonaws.com/1308063/p/9-27-2022_SLF_Reg8_RegionalOffice.jpg", "View")</f>
        <v>View</v>
      </c>
      <c r="F40" t="s">
        <v>17</v>
      </c>
      <c r="G40" t="s">
        <v>18</v>
      </c>
      <c r="H40">
        <v>324726</v>
      </c>
      <c r="I40" t="str">
        <f t="shared" si="2"/>
        <v>View</v>
      </c>
      <c r="J40" t="s">
        <v>17</v>
      </c>
      <c r="K40" t="s">
        <v>21</v>
      </c>
      <c r="L40">
        <v>324726</v>
      </c>
      <c r="M40">
        <v>57.71</v>
      </c>
      <c r="N40">
        <v>99.37</v>
      </c>
      <c r="P40">
        <v>1</v>
      </c>
    </row>
    <row r="41" spans="1:16" x14ac:dyDescent="0.3">
      <c r="A41">
        <v>39</v>
      </c>
      <c r="B41" t="str">
        <f>HYPERLINK("https://imapinvasives.natureserve.org/imap/services/page/Presence/1355577.html", "View")</f>
        <v>View</v>
      </c>
      <c r="C41">
        <v>1355577</v>
      </c>
      <c r="D41">
        <v>1373210</v>
      </c>
      <c r="E41" t="str">
        <f>HYPERLINK("http://imap3images.s3-website-us-east-1.amazonaws.com/1373210/p/imap_app_photo_1696534466107.jpg", "View")</f>
        <v>View</v>
      </c>
      <c r="F41" t="s">
        <v>17</v>
      </c>
      <c r="G41" t="s">
        <v>18</v>
      </c>
      <c r="H41">
        <v>324726</v>
      </c>
      <c r="I41" t="str">
        <f t="shared" si="2"/>
        <v>View</v>
      </c>
      <c r="J41" t="s">
        <v>17</v>
      </c>
      <c r="K41" t="s">
        <v>21</v>
      </c>
      <c r="L41">
        <v>324726</v>
      </c>
      <c r="M41">
        <v>57.71</v>
      </c>
      <c r="N41">
        <v>99.87</v>
      </c>
      <c r="P41">
        <v>1</v>
      </c>
    </row>
    <row r="42" spans="1:16" x14ac:dyDescent="0.3">
      <c r="A42">
        <v>40</v>
      </c>
      <c r="B42" t="str">
        <f>HYPERLINK("https://imapinvasives.natureserve.org/imap/services/page/Presence/1412087.html", "View")</f>
        <v>View</v>
      </c>
      <c r="C42">
        <v>1412087</v>
      </c>
      <c r="D42">
        <v>1424783</v>
      </c>
      <c r="E42" t="str">
        <f>HYPERLINK("http://imap3images.s3-website-us-east-1.amazonaws.com/1424783/p/imap_app_photo_1718747180667.jpg", "View")</f>
        <v>View</v>
      </c>
      <c r="F42" t="s">
        <v>17</v>
      </c>
      <c r="G42" t="s">
        <v>18</v>
      </c>
      <c r="H42">
        <v>324726</v>
      </c>
      <c r="I42" t="str">
        <f t="shared" si="2"/>
        <v>View</v>
      </c>
      <c r="J42" t="s">
        <v>17</v>
      </c>
      <c r="K42" t="s">
        <v>21</v>
      </c>
      <c r="L42">
        <v>324726</v>
      </c>
      <c r="M42">
        <v>57.71</v>
      </c>
      <c r="N42">
        <v>99.61</v>
      </c>
      <c r="P42">
        <v>1</v>
      </c>
    </row>
    <row r="43" spans="1:16" x14ac:dyDescent="0.3">
      <c r="A43">
        <v>41</v>
      </c>
      <c r="B43" t="str">
        <f>HYPERLINK("https://imapinvasives.natureserve.org/imap/services/page/Presence/1434302.html", "View")</f>
        <v>View</v>
      </c>
      <c r="C43">
        <v>1434302</v>
      </c>
      <c r="D43">
        <v>1447951</v>
      </c>
      <c r="E43" t="str">
        <f>HYPERLINK("http://imap3images.s3-website-us-east-1.amazonaws.com/1447951/p/imap_app_photo_1720736726016.jpg", "View")</f>
        <v>View</v>
      </c>
      <c r="F43" t="s">
        <v>17</v>
      </c>
      <c r="G43" t="s">
        <v>18</v>
      </c>
      <c r="H43">
        <v>324726</v>
      </c>
      <c r="I43" t="str">
        <f t="shared" si="2"/>
        <v>View</v>
      </c>
      <c r="J43" t="s">
        <v>17</v>
      </c>
      <c r="K43" t="s">
        <v>21</v>
      </c>
      <c r="L43">
        <v>324726</v>
      </c>
      <c r="M43">
        <v>57.71</v>
      </c>
      <c r="N43">
        <v>99.98</v>
      </c>
      <c r="P43">
        <v>1</v>
      </c>
    </row>
    <row r="44" spans="1:16" x14ac:dyDescent="0.3">
      <c r="A44">
        <v>42</v>
      </c>
      <c r="B44" t="str">
        <f>HYPERLINK("https://imapinvasives.natureserve.org/imap/services/page/Presence/1363335.html", "View")</f>
        <v>View</v>
      </c>
      <c r="C44">
        <v>1363335</v>
      </c>
      <c r="D44">
        <v>1381158</v>
      </c>
      <c r="E44" t="str">
        <f>HYPERLINK("http://imap3images.s3-website-us-east-1.amazonaws.com/1381158/p/inat_photo_331036312.jpg", "View")</f>
        <v>View</v>
      </c>
      <c r="F44" t="s">
        <v>17</v>
      </c>
      <c r="G44" t="s">
        <v>18</v>
      </c>
      <c r="H44">
        <v>324726</v>
      </c>
      <c r="I44" t="str">
        <f t="shared" si="2"/>
        <v>View</v>
      </c>
      <c r="J44" t="s">
        <v>17</v>
      </c>
      <c r="K44" t="s">
        <v>21</v>
      </c>
      <c r="L44">
        <v>324726</v>
      </c>
      <c r="M44">
        <v>30.04</v>
      </c>
      <c r="N44">
        <v>99.21</v>
      </c>
      <c r="P44">
        <v>1</v>
      </c>
    </row>
    <row r="45" spans="1:16" x14ac:dyDescent="0.3">
      <c r="A45">
        <v>43</v>
      </c>
      <c r="B45" t="str">
        <f>HYPERLINK("https://imapinvasives.natureserve.org/imap/services/page/Presence/1413837.html", "View")</f>
        <v>View</v>
      </c>
      <c r="C45">
        <v>1413837</v>
      </c>
      <c r="D45">
        <v>1427336</v>
      </c>
      <c r="E45" t="str">
        <f>HYPERLINK("http://imap3images.s3-website-us-east-1.amazonaws.com/1427336/p/imap_app_photo_1719610682919.jpg", "View")</f>
        <v>View</v>
      </c>
      <c r="F45" t="s">
        <v>17</v>
      </c>
      <c r="G45" t="s">
        <v>18</v>
      </c>
      <c r="H45">
        <v>324726</v>
      </c>
      <c r="I45" t="str">
        <f t="shared" si="2"/>
        <v>View</v>
      </c>
      <c r="J45" t="s">
        <v>17</v>
      </c>
      <c r="K45" t="s">
        <v>21</v>
      </c>
      <c r="L45">
        <v>324726</v>
      </c>
      <c r="M45">
        <v>57.71</v>
      </c>
      <c r="N45">
        <v>99.4</v>
      </c>
      <c r="P45">
        <v>1</v>
      </c>
    </row>
    <row r="46" spans="1:16" x14ac:dyDescent="0.3">
      <c r="A46">
        <v>44</v>
      </c>
      <c r="B46" t="str">
        <f>HYPERLINK("https://imapinvasives.natureserve.org/imap/services/page/Presence/1297435.html", "View")</f>
        <v>View</v>
      </c>
      <c r="C46">
        <v>1297435</v>
      </c>
      <c r="D46">
        <v>1307672</v>
      </c>
      <c r="E46" t="str">
        <f>HYPERLINK("http://imap3images.s3-website-us-east-1.amazonaws.com/1307672/p/9-6-2022_Lovejoy_SLF-2.jpg", "View")</f>
        <v>View</v>
      </c>
      <c r="F46" t="s">
        <v>17</v>
      </c>
      <c r="G46" t="s">
        <v>18</v>
      </c>
      <c r="H46">
        <v>324726</v>
      </c>
      <c r="I46" t="str">
        <f t="shared" si="2"/>
        <v>View</v>
      </c>
      <c r="J46" t="s">
        <v>17</v>
      </c>
      <c r="K46" t="s">
        <v>21</v>
      </c>
      <c r="L46">
        <v>324726</v>
      </c>
      <c r="M46">
        <v>2.6</v>
      </c>
      <c r="N46">
        <v>95.69</v>
      </c>
      <c r="P46">
        <v>1</v>
      </c>
    </row>
    <row r="47" spans="1:16" x14ac:dyDescent="0.3">
      <c r="A47">
        <v>45</v>
      </c>
      <c r="B47" t="str">
        <f>HYPERLINK("https://imapinvasives.natureserve.org/imap/services/page/Presence/1352559.html", "View")</f>
        <v>View</v>
      </c>
      <c r="C47">
        <v>1352559</v>
      </c>
      <c r="D47">
        <v>1369938</v>
      </c>
      <c r="E47" t="str">
        <f>HYPERLINK("http://imap3images.s3-website-us-east-1.amazonaws.com/1369938/p/inat_photo_315764936.jpg", "View")</f>
        <v>View</v>
      </c>
      <c r="F47" t="s">
        <v>17</v>
      </c>
      <c r="G47" t="s">
        <v>18</v>
      </c>
      <c r="H47">
        <v>324726</v>
      </c>
      <c r="I47" t="str">
        <f t="shared" si="2"/>
        <v>View</v>
      </c>
      <c r="J47" t="s">
        <v>17</v>
      </c>
      <c r="K47" t="s">
        <v>21</v>
      </c>
      <c r="L47">
        <v>324726</v>
      </c>
      <c r="M47">
        <v>2.6</v>
      </c>
      <c r="N47">
        <v>98.43</v>
      </c>
      <c r="P47">
        <v>1</v>
      </c>
    </row>
    <row r="48" spans="1:16" x14ac:dyDescent="0.3">
      <c r="A48">
        <v>46</v>
      </c>
      <c r="B48" t="str">
        <f>HYPERLINK("https://imapinvasives.natureserve.org/imap/services/page/Presence/1294025.html", "View")</f>
        <v>View</v>
      </c>
      <c r="C48">
        <v>1294025</v>
      </c>
      <c r="D48">
        <v>1304230</v>
      </c>
      <c r="E48" t="str">
        <f>HYPERLINK("http://imap3images.s3-website-us-east-1.amazonaws.com/1304230/p/imap_app_photo_1663293947960.jpg", "View")</f>
        <v>View</v>
      </c>
      <c r="F48" t="s">
        <v>17</v>
      </c>
      <c r="G48" t="s">
        <v>18</v>
      </c>
      <c r="H48">
        <v>324726</v>
      </c>
      <c r="I48" t="str">
        <f t="shared" si="2"/>
        <v>View</v>
      </c>
      <c r="J48" t="s">
        <v>17</v>
      </c>
      <c r="K48" t="s">
        <v>21</v>
      </c>
      <c r="L48">
        <v>324726</v>
      </c>
      <c r="M48">
        <v>2.6</v>
      </c>
      <c r="N48">
        <v>97.6</v>
      </c>
      <c r="P48">
        <v>1</v>
      </c>
    </row>
    <row r="49" spans="1:16" x14ac:dyDescent="0.3">
      <c r="A49">
        <v>47</v>
      </c>
      <c r="B49" t="str">
        <f>HYPERLINK("https://imapinvasives.natureserve.org/imap/services/page/Presence/1350316.html", "View")</f>
        <v>View</v>
      </c>
      <c r="C49">
        <v>1350316</v>
      </c>
      <c r="D49">
        <v>1367285</v>
      </c>
      <c r="E49" t="str">
        <f>HYPERLINK("http://imap3images.s3-website-us-east-1.amazonaws.com/1367285/p/imap_app_photo_1693085379542.jpg", "View")</f>
        <v>View</v>
      </c>
      <c r="F49" t="s">
        <v>17</v>
      </c>
      <c r="G49" t="s">
        <v>18</v>
      </c>
      <c r="H49">
        <v>324726</v>
      </c>
      <c r="I49" t="str">
        <f>HYPERLINK("https://www.inaturalist.org/taxa/67760-Popillia-japonica", "View")</f>
        <v>View</v>
      </c>
      <c r="J49" t="s">
        <v>32</v>
      </c>
      <c r="K49" t="s">
        <v>33</v>
      </c>
      <c r="L49">
        <v>67760</v>
      </c>
      <c r="M49">
        <v>44.34</v>
      </c>
      <c r="N49">
        <v>38.93</v>
      </c>
      <c r="P49">
        <v>0</v>
      </c>
    </row>
    <row r="50" spans="1:16" x14ac:dyDescent="0.3">
      <c r="A50">
        <v>48</v>
      </c>
      <c r="B50" t="str">
        <f>HYPERLINK("https://imapinvasives.natureserve.org/imap/services/page/Presence/1069095.html", "View")</f>
        <v>View</v>
      </c>
      <c r="C50">
        <v>1069095</v>
      </c>
      <c r="D50">
        <v>1073946</v>
      </c>
      <c r="E50" t="str">
        <f>HYPERLINK("http://imap3images.s3-website-us-east-1.amazonaws.com/1073946/p/imap_app_photo_1600097331123.jpg", "View")</f>
        <v>View</v>
      </c>
      <c r="F50" t="s">
        <v>17</v>
      </c>
      <c r="G50" t="s">
        <v>18</v>
      </c>
      <c r="H50">
        <v>324726</v>
      </c>
      <c r="I50" t="str">
        <f t="shared" ref="I50:I59" si="3">HYPERLINK("https://www.inaturalist.org/taxa/324726-Lycorma-delicatula", "View")</f>
        <v>View</v>
      </c>
      <c r="J50" t="s">
        <v>17</v>
      </c>
      <c r="K50" t="s">
        <v>21</v>
      </c>
      <c r="L50">
        <v>324726</v>
      </c>
      <c r="M50">
        <v>81.28</v>
      </c>
      <c r="N50">
        <v>99.81</v>
      </c>
      <c r="P50">
        <v>1</v>
      </c>
    </row>
    <row r="51" spans="1:16" x14ac:dyDescent="0.3">
      <c r="A51">
        <v>49</v>
      </c>
      <c r="B51" t="str">
        <f>HYPERLINK("https://imapinvasives.natureserve.org/imap/services/page/Presence/1355280.html", "View")</f>
        <v>View</v>
      </c>
      <c r="C51">
        <v>1355280</v>
      </c>
      <c r="D51">
        <v>1372912</v>
      </c>
      <c r="E51" t="str">
        <f>HYPERLINK("http://imap3images.s3-website-us-east-1.amazonaws.com/1372912/p/IMG_8098.jpg", "View")</f>
        <v>View</v>
      </c>
      <c r="F51" t="s">
        <v>17</v>
      </c>
      <c r="G51" t="s">
        <v>18</v>
      </c>
      <c r="H51">
        <v>324726</v>
      </c>
      <c r="I51" t="str">
        <f t="shared" si="3"/>
        <v>View</v>
      </c>
      <c r="J51" t="s">
        <v>17</v>
      </c>
      <c r="K51" t="s">
        <v>21</v>
      </c>
      <c r="L51">
        <v>324726</v>
      </c>
      <c r="M51">
        <v>81.28</v>
      </c>
      <c r="N51">
        <v>91.8</v>
      </c>
      <c r="P51">
        <v>1</v>
      </c>
    </row>
    <row r="52" spans="1:16" x14ac:dyDescent="0.3">
      <c r="A52">
        <v>50</v>
      </c>
      <c r="B52" t="str">
        <f>HYPERLINK("https://imapinvasives.natureserve.org/imap/services/page/Presence/1167641.html", "View")</f>
        <v>View</v>
      </c>
      <c r="C52">
        <v>1167641</v>
      </c>
      <c r="D52">
        <v>1175101</v>
      </c>
      <c r="E52" t="str">
        <f>HYPERLINK("http://imap3images.s3-website-us-east-1.amazonaws.com/1175101/p/inat_photo_161718345.jpg", "View")</f>
        <v>View</v>
      </c>
      <c r="F52" t="s">
        <v>17</v>
      </c>
      <c r="G52" t="s">
        <v>18</v>
      </c>
      <c r="H52">
        <v>324726</v>
      </c>
      <c r="I52" t="str">
        <f t="shared" si="3"/>
        <v>View</v>
      </c>
      <c r="J52" t="s">
        <v>17</v>
      </c>
      <c r="K52" t="s">
        <v>21</v>
      </c>
      <c r="L52">
        <v>324726</v>
      </c>
      <c r="M52">
        <v>89.66</v>
      </c>
      <c r="N52">
        <v>100</v>
      </c>
      <c r="P52">
        <v>1</v>
      </c>
    </row>
    <row r="53" spans="1:16" x14ac:dyDescent="0.3">
      <c r="A53">
        <v>51</v>
      </c>
      <c r="B53" t="str">
        <f>HYPERLINK("https://imapinvasives.natureserve.org/imap/services/page/Presence/1274013.html", "View")</f>
        <v>View</v>
      </c>
      <c r="C53">
        <v>1274013</v>
      </c>
      <c r="D53">
        <v>1283215</v>
      </c>
      <c r="E53" t="str">
        <f>HYPERLINK("http://imap3images.s3-website-us-east-1.amazonaws.com/1283215/p/20220609_082122.jpg", "View")</f>
        <v>View</v>
      </c>
      <c r="F53" t="s">
        <v>17</v>
      </c>
      <c r="G53" t="s">
        <v>18</v>
      </c>
      <c r="H53">
        <v>324726</v>
      </c>
      <c r="I53" t="str">
        <f t="shared" si="3"/>
        <v>View</v>
      </c>
      <c r="J53" t="s">
        <v>17</v>
      </c>
      <c r="K53" t="s">
        <v>21</v>
      </c>
      <c r="L53">
        <v>324726</v>
      </c>
      <c r="M53">
        <v>89.66</v>
      </c>
      <c r="N53">
        <v>94.04</v>
      </c>
      <c r="P53">
        <v>1</v>
      </c>
    </row>
    <row r="54" spans="1:16" x14ac:dyDescent="0.3">
      <c r="A54">
        <v>52</v>
      </c>
      <c r="B54" t="str">
        <f>HYPERLINK("https://imapinvasives.natureserve.org/imap/services/page/Presence/1160915.html", "View")</f>
        <v>View</v>
      </c>
      <c r="C54">
        <v>1160915</v>
      </c>
      <c r="D54">
        <v>1168054</v>
      </c>
      <c r="E54" t="str">
        <f>HYPERLINK("http://imap3images.s3-website-us-east-1.amazonaws.com/1168054/p/20210831_152231.jpg", "View")</f>
        <v>View</v>
      </c>
      <c r="F54" t="s">
        <v>17</v>
      </c>
      <c r="G54" t="s">
        <v>18</v>
      </c>
      <c r="H54">
        <v>324726</v>
      </c>
      <c r="I54" t="str">
        <f t="shared" si="3"/>
        <v>View</v>
      </c>
      <c r="J54" t="s">
        <v>17</v>
      </c>
      <c r="K54" t="s">
        <v>21</v>
      </c>
      <c r="L54">
        <v>324726</v>
      </c>
      <c r="M54">
        <v>89.66</v>
      </c>
      <c r="N54">
        <v>96.51</v>
      </c>
      <c r="P54">
        <v>1</v>
      </c>
    </row>
    <row r="55" spans="1:16" x14ac:dyDescent="0.3">
      <c r="A55">
        <v>53</v>
      </c>
      <c r="B55" t="str">
        <f>HYPERLINK("https://imapinvasives.natureserve.org/imap/services/page/Presence/1162125.html", "View")</f>
        <v>View</v>
      </c>
      <c r="C55">
        <v>1162125</v>
      </c>
      <c r="D55">
        <v>1169293</v>
      </c>
      <c r="E55" t="str">
        <f>HYPERLINK("http://imap3images.s3-website-us-east-1.amazonaws.com/1169293/p/inat_photo_155744159.jpg", "View")</f>
        <v>View</v>
      </c>
      <c r="F55" t="s">
        <v>17</v>
      </c>
      <c r="G55" t="s">
        <v>18</v>
      </c>
      <c r="H55">
        <v>324726</v>
      </c>
      <c r="I55" t="str">
        <f t="shared" si="3"/>
        <v>View</v>
      </c>
      <c r="J55" t="s">
        <v>17</v>
      </c>
      <c r="K55" t="s">
        <v>21</v>
      </c>
      <c r="L55">
        <v>324726</v>
      </c>
      <c r="M55">
        <v>89.66</v>
      </c>
      <c r="N55">
        <v>99.81</v>
      </c>
      <c r="P55">
        <v>1</v>
      </c>
    </row>
    <row r="56" spans="1:16" x14ac:dyDescent="0.3">
      <c r="A56">
        <v>54</v>
      </c>
      <c r="B56" t="str">
        <f>HYPERLINK("https://imapinvasives.natureserve.org/imap/services/page/Presence/1162107.html", "View")</f>
        <v>View</v>
      </c>
      <c r="C56">
        <v>1162107</v>
      </c>
      <c r="D56">
        <v>1169275</v>
      </c>
      <c r="E56" t="str">
        <f>HYPERLINK("http://imap3images.s3-website-us-east-1.amazonaws.com/1169275/p/inat_photo_155733441.jpg", "View")</f>
        <v>View</v>
      </c>
      <c r="F56" t="s">
        <v>17</v>
      </c>
      <c r="G56" t="s">
        <v>18</v>
      </c>
      <c r="H56">
        <v>324726</v>
      </c>
      <c r="I56" t="str">
        <f t="shared" si="3"/>
        <v>View</v>
      </c>
      <c r="J56" t="s">
        <v>17</v>
      </c>
      <c r="K56" t="s">
        <v>21</v>
      </c>
      <c r="L56">
        <v>324726</v>
      </c>
      <c r="M56">
        <v>81.28</v>
      </c>
      <c r="N56">
        <v>99.87</v>
      </c>
      <c r="P56">
        <v>1</v>
      </c>
    </row>
    <row r="57" spans="1:16" x14ac:dyDescent="0.3">
      <c r="A57">
        <v>55</v>
      </c>
      <c r="B57" t="str">
        <f>HYPERLINK("https://imapinvasives.natureserve.org/imap/services/page/Presence/1262108.html", "View")</f>
        <v>View</v>
      </c>
      <c r="C57">
        <v>1262108</v>
      </c>
      <c r="D57">
        <v>1270757</v>
      </c>
      <c r="E57" t="str">
        <f>HYPERLINK("http://imap3images.s3-website-us-east-1.amazonaws.com/1270757/p/inat_photo_183003228.jpg", "View")</f>
        <v>View</v>
      </c>
      <c r="F57" t="s">
        <v>17</v>
      </c>
      <c r="G57" t="s">
        <v>18</v>
      </c>
      <c r="H57">
        <v>324726</v>
      </c>
      <c r="I57" t="str">
        <f t="shared" si="3"/>
        <v>View</v>
      </c>
      <c r="J57" t="s">
        <v>17</v>
      </c>
      <c r="K57" t="s">
        <v>21</v>
      </c>
      <c r="L57">
        <v>324726</v>
      </c>
      <c r="M57">
        <v>89.66</v>
      </c>
      <c r="N57">
        <v>90.35</v>
      </c>
      <c r="P57">
        <v>1</v>
      </c>
    </row>
    <row r="58" spans="1:16" x14ac:dyDescent="0.3">
      <c r="A58">
        <v>56</v>
      </c>
      <c r="B58" t="str">
        <f>HYPERLINK("https://imapinvasives.natureserve.org/imap/services/page/Presence/1273365.html", "View")</f>
        <v>View</v>
      </c>
      <c r="C58">
        <v>1273365</v>
      </c>
      <c r="D58">
        <v>1282501</v>
      </c>
      <c r="E58" t="str">
        <f>HYPERLINK("http://imap3images.s3-website-us-east-1.amazonaws.com/1282501/p/inat_photo_201292294.jpg", "View")</f>
        <v>View</v>
      </c>
      <c r="F58" t="s">
        <v>17</v>
      </c>
      <c r="G58" t="s">
        <v>18</v>
      </c>
      <c r="H58">
        <v>324726</v>
      </c>
      <c r="I58" t="str">
        <f t="shared" si="3"/>
        <v>View</v>
      </c>
      <c r="J58" t="s">
        <v>17</v>
      </c>
      <c r="K58" t="s">
        <v>21</v>
      </c>
      <c r="L58">
        <v>324726</v>
      </c>
      <c r="M58">
        <v>89.66</v>
      </c>
      <c r="N58">
        <v>99.9</v>
      </c>
      <c r="P58">
        <v>1</v>
      </c>
    </row>
    <row r="59" spans="1:16" x14ac:dyDescent="0.3">
      <c r="A59">
        <v>57</v>
      </c>
      <c r="B59" t="str">
        <f>HYPERLINK("https://imapinvasives.natureserve.org/imap/services/page/Presence/1334762.html", "View")</f>
        <v>View</v>
      </c>
      <c r="C59">
        <v>1334762</v>
      </c>
      <c r="D59">
        <v>1348948</v>
      </c>
      <c r="E59" t="str">
        <f>HYPERLINK("http://imap3images.s3-website-us-east-1.amazonaws.com/1348948/p/IMG_1920.jpeg", "View")</f>
        <v>View</v>
      </c>
      <c r="F59" t="s">
        <v>17</v>
      </c>
      <c r="G59" t="s">
        <v>18</v>
      </c>
      <c r="H59">
        <v>324726</v>
      </c>
      <c r="I59" t="str">
        <f t="shared" si="3"/>
        <v>View</v>
      </c>
      <c r="J59" t="s">
        <v>17</v>
      </c>
      <c r="K59" t="s">
        <v>21</v>
      </c>
      <c r="L59">
        <v>324726</v>
      </c>
      <c r="M59">
        <v>89.66</v>
      </c>
      <c r="N59">
        <v>93.91</v>
      </c>
      <c r="P59">
        <v>1</v>
      </c>
    </row>
    <row r="60" spans="1:16" x14ac:dyDescent="0.3">
      <c r="A60">
        <v>58</v>
      </c>
      <c r="B60" t="str">
        <f>HYPERLINK("https://imapinvasives.natureserve.org/imap/services/page/Presence/1249215.html", "View")</f>
        <v>View</v>
      </c>
      <c r="C60">
        <v>1249215</v>
      </c>
      <c r="D60">
        <v>1257370</v>
      </c>
      <c r="E60" t="str">
        <f>HYPERLINK("http://imap3images.s3-website-us-east-1.amazonaws.com/1257370/p/inat_photo_175415404.jpg", "View")</f>
        <v>View</v>
      </c>
      <c r="F60" t="s">
        <v>17</v>
      </c>
      <c r="G60" t="s">
        <v>18</v>
      </c>
      <c r="H60">
        <v>324726</v>
      </c>
      <c r="I60" t="str">
        <f>HYPERLINK("https://www.inaturalist.org/taxa/335978-Peniophora-cinerea", "View")</f>
        <v>View</v>
      </c>
      <c r="J60" t="s">
        <v>34</v>
      </c>
      <c r="K60" t="s">
        <v>31</v>
      </c>
      <c r="L60">
        <v>335978</v>
      </c>
      <c r="M60">
        <v>5.9</v>
      </c>
      <c r="N60">
        <v>12.53</v>
      </c>
      <c r="P60">
        <v>0</v>
      </c>
    </row>
    <row r="61" spans="1:16" x14ac:dyDescent="0.3">
      <c r="A61">
        <v>59</v>
      </c>
      <c r="B61" t="str">
        <f>HYPERLINK("https://imapinvasives.natureserve.org/imap/services/page/Presence/1167059.html", "View")</f>
        <v>View</v>
      </c>
      <c r="C61">
        <v>1167059</v>
      </c>
      <c r="D61">
        <v>1174387</v>
      </c>
      <c r="E61" t="str">
        <f>HYPERLINK("http://imap3images.s3-website-us-east-1.amazonaws.com/1174387/p/inat_photo_161377512.jpg", "View")</f>
        <v>View</v>
      </c>
      <c r="F61" t="s">
        <v>17</v>
      </c>
      <c r="G61" t="s">
        <v>18</v>
      </c>
      <c r="H61">
        <v>324726</v>
      </c>
      <c r="I61" t="str">
        <f>HYPERLINK("https://www.inaturalist.org/taxa/324726-Lycorma-delicatula", "View")</f>
        <v>View</v>
      </c>
      <c r="J61" t="s">
        <v>17</v>
      </c>
      <c r="K61" t="s">
        <v>21</v>
      </c>
      <c r="L61">
        <v>324726</v>
      </c>
      <c r="M61">
        <v>89.66</v>
      </c>
      <c r="N61">
        <v>99.65</v>
      </c>
      <c r="P61">
        <v>1</v>
      </c>
    </row>
    <row r="62" spans="1:16" x14ac:dyDescent="0.3">
      <c r="A62">
        <v>60</v>
      </c>
      <c r="B62" t="str">
        <f>HYPERLINK("https://imapinvasives.natureserve.org/imap/services/page/Presence/1273366.html", "View")</f>
        <v>View</v>
      </c>
      <c r="C62">
        <v>1273366</v>
      </c>
      <c r="D62">
        <v>1282502</v>
      </c>
      <c r="E62" t="str">
        <f>HYPERLINK("http://imap3images.s3-website-us-east-1.amazonaws.com/1282502/p/inat_photo_201292556.jpg", "View")</f>
        <v>View</v>
      </c>
      <c r="F62" t="s">
        <v>17</v>
      </c>
      <c r="G62" t="s">
        <v>18</v>
      </c>
      <c r="H62">
        <v>324726</v>
      </c>
      <c r="I62" t="str">
        <f>HYPERLINK("https://www.inaturalist.org/taxa/324726-Lycorma-delicatula", "View")</f>
        <v>View</v>
      </c>
      <c r="J62" t="s">
        <v>17</v>
      </c>
      <c r="K62" t="s">
        <v>21</v>
      </c>
      <c r="L62">
        <v>324726</v>
      </c>
      <c r="M62">
        <v>89.66</v>
      </c>
      <c r="N62">
        <v>99.98</v>
      </c>
      <c r="P62">
        <v>1</v>
      </c>
    </row>
    <row r="63" spans="1:16" x14ac:dyDescent="0.3">
      <c r="A63">
        <v>61</v>
      </c>
      <c r="B63" t="str">
        <f>HYPERLINK("https://imapinvasives.natureserve.org/imap/services/page/Presence/1160765.html", "View")</f>
        <v>View</v>
      </c>
      <c r="C63">
        <v>1160765</v>
      </c>
      <c r="D63">
        <v>1167904</v>
      </c>
      <c r="E63" t="str">
        <f>HYPERLINK("http://imap3images.s3-website-us-east-1.amazonaws.com/1167904/p/inat_photo_153741920.jpg", "View")</f>
        <v>View</v>
      </c>
      <c r="F63" t="s">
        <v>17</v>
      </c>
      <c r="G63" t="s">
        <v>18</v>
      </c>
      <c r="H63">
        <v>324726</v>
      </c>
      <c r="I63" t="str">
        <f>HYPERLINK("https://www.inaturalist.org/taxa/324726-Lycorma-delicatula", "View")</f>
        <v>View</v>
      </c>
      <c r="J63" t="s">
        <v>17</v>
      </c>
      <c r="K63" t="s">
        <v>21</v>
      </c>
      <c r="L63">
        <v>324726</v>
      </c>
      <c r="M63">
        <v>89.66</v>
      </c>
      <c r="N63">
        <v>99.5</v>
      </c>
      <c r="P63">
        <v>1</v>
      </c>
    </row>
    <row r="64" spans="1:16" x14ac:dyDescent="0.3">
      <c r="A64">
        <v>62</v>
      </c>
      <c r="B64" t="str">
        <f>HYPERLINK("https://imapinvasives.natureserve.org/imap/services/page/Presence/1273356.html", "View")</f>
        <v>View</v>
      </c>
      <c r="C64">
        <v>1273356</v>
      </c>
      <c r="D64">
        <v>1282492</v>
      </c>
      <c r="E64" t="str">
        <f>HYPERLINK("http://imap3images.s3-website-us-east-1.amazonaws.com/1282492/p/inat_photo_201046128.jpg", "View")</f>
        <v>View</v>
      </c>
      <c r="F64" t="s">
        <v>17</v>
      </c>
      <c r="G64" t="s">
        <v>18</v>
      </c>
      <c r="H64">
        <v>324726</v>
      </c>
      <c r="I64" t="str">
        <f>HYPERLINK("https://www.inaturalist.org/taxa/324726-Lycorma-delicatula", "View")</f>
        <v>View</v>
      </c>
      <c r="J64" t="s">
        <v>17</v>
      </c>
      <c r="K64" t="s">
        <v>21</v>
      </c>
      <c r="L64">
        <v>324726</v>
      </c>
      <c r="M64">
        <v>89.66</v>
      </c>
      <c r="N64">
        <v>97.84</v>
      </c>
      <c r="P64">
        <v>1</v>
      </c>
    </row>
    <row r="65" spans="1:16" x14ac:dyDescent="0.3">
      <c r="A65">
        <v>63</v>
      </c>
      <c r="B65" t="str">
        <f>HYPERLINK("https://imapinvasives.natureserve.org/imap/services/page/Presence/1272646.html", "View")</f>
        <v>View</v>
      </c>
      <c r="C65">
        <v>1272646</v>
      </c>
      <c r="D65">
        <v>1281698</v>
      </c>
      <c r="E65" t="str">
        <f>HYPERLINK("http://imap3images.s3-website-us-east-1.amazonaws.com/1281698/p/inat_photo_198670052.jpg", "View")</f>
        <v>View</v>
      </c>
      <c r="F65" t="s">
        <v>17</v>
      </c>
      <c r="G65" t="s">
        <v>18</v>
      </c>
      <c r="H65">
        <v>324726</v>
      </c>
      <c r="I65" t="str">
        <f>HYPERLINK("https://www.inaturalist.org/taxa/335978-Peniophora-cinerea", "View")</f>
        <v>View</v>
      </c>
      <c r="J65" t="s">
        <v>34</v>
      </c>
      <c r="K65" t="s">
        <v>31</v>
      </c>
      <c r="L65">
        <v>335978</v>
      </c>
      <c r="M65">
        <v>5.9</v>
      </c>
      <c r="N65">
        <v>38.07</v>
      </c>
      <c r="P65">
        <v>0</v>
      </c>
    </row>
    <row r="66" spans="1:16" x14ac:dyDescent="0.3">
      <c r="A66">
        <v>64</v>
      </c>
      <c r="B66" t="str">
        <f>HYPERLINK("https://imapinvasives.natureserve.org/imap/services/page/Presence/1273369.html", "View")</f>
        <v>View</v>
      </c>
      <c r="C66">
        <v>1273369</v>
      </c>
      <c r="D66">
        <v>1282505</v>
      </c>
      <c r="E66" t="str">
        <f>HYPERLINK("http://imap3images.s3-website-us-east-1.amazonaws.com/1282505/p/inat_photo_201606352.jpg", "View")</f>
        <v>View</v>
      </c>
      <c r="F66" t="s">
        <v>17</v>
      </c>
      <c r="G66" t="s">
        <v>18</v>
      </c>
      <c r="H66">
        <v>324726</v>
      </c>
      <c r="I66" t="str">
        <f t="shared" ref="I66:I73" si="4">HYPERLINK("https://www.inaturalist.org/taxa/324726-Lycorma-delicatula", "View")</f>
        <v>View</v>
      </c>
      <c r="J66" t="s">
        <v>17</v>
      </c>
      <c r="K66" t="s">
        <v>21</v>
      </c>
      <c r="L66">
        <v>324726</v>
      </c>
      <c r="M66">
        <v>89.66</v>
      </c>
      <c r="N66">
        <v>99.95</v>
      </c>
      <c r="P66">
        <v>1</v>
      </c>
    </row>
    <row r="67" spans="1:16" x14ac:dyDescent="0.3">
      <c r="A67">
        <v>65</v>
      </c>
      <c r="B67" t="str">
        <f>HYPERLINK("https://imapinvasives.natureserve.org/imap/services/page/Presence/1285369.html", "View")</f>
        <v>View</v>
      </c>
      <c r="C67">
        <v>1285369</v>
      </c>
      <c r="D67">
        <v>1295004</v>
      </c>
      <c r="E67" t="str">
        <f>HYPERLINK("http://imap3images.s3-website-us-east-1.amazonaws.com/1295004/p/8E188DA1-EA6E-49D9-A5C8-0571C9E6F07F.jpeg", "View")</f>
        <v>View</v>
      </c>
      <c r="F67" t="s">
        <v>17</v>
      </c>
      <c r="G67" t="s">
        <v>18</v>
      </c>
      <c r="H67">
        <v>324726</v>
      </c>
      <c r="I67" t="str">
        <f t="shared" si="4"/>
        <v>View</v>
      </c>
      <c r="J67" t="s">
        <v>17</v>
      </c>
      <c r="K67" t="s">
        <v>21</v>
      </c>
      <c r="L67">
        <v>324726</v>
      </c>
      <c r="M67">
        <v>81.28</v>
      </c>
      <c r="N67">
        <v>93.28</v>
      </c>
      <c r="P67">
        <v>1</v>
      </c>
    </row>
    <row r="68" spans="1:16" x14ac:dyDescent="0.3">
      <c r="A68">
        <v>66</v>
      </c>
      <c r="B68" t="str">
        <f>HYPERLINK("https://imapinvasives.natureserve.org/imap/services/page/Presence/1272637.html", "View")</f>
        <v>View</v>
      </c>
      <c r="C68">
        <v>1272637</v>
      </c>
      <c r="D68">
        <v>1281689</v>
      </c>
      <c r="E68" t="str">
        <f>HYPERLINK("http://imap3images.s3-website-us-east-1.amazonaws.com/1281689/p/inat_photo_198393801.jpg", "View")</f>
        <v>View</v>
      </c>
      <c r="F68" t="s">
        <v>17</v>
      </c>
      <c r="G68" t="s">
        <v>18</v>
      </c>
      <c r="H68">
        <v>324726</v>
      </c>
      <c r="I68" t="str">
        <f t="shared" si="4"/>
        <v>View</v>
      </c>
      <c r="J68" t="s">
        <v>17</v>
      </c>
      <c r="K68" t="s">
        <v>21</v>
      </c>
      <c r="L68">
        <v>324726</v>
      </c>
      <c r="M68">
        <v>89.66</v>
      </c>
      <c r="N68">
        <v>99.96</v>
      </c>
      <c r="P68">
        <v>1</v>
      </c>
    </row>
    <row r="69" spans="1:16" x14ac:dyDescent="0.3">
      <c r="A69">
        <v>67</v>
      </c>
      <c r="B69" t="str">
        <f>HYPERLINK("https://imapinvasives.natureserve.org/imap/services/page/Presence/1349168.html", "View")</f>
        <v>View</v>
      </c>
      <c r="C69">
        <v>1349168</v>
      </c>
      <c r="D69">
        <v>1366085</v>
      </c>
      <c r="E69" t="str">
        <f>HYPERLINK("http://imap3images.s3-website-us-east-1.amazonaws.com/1366085/p/imap_app_photo_1692721844529.jpg", "View")</f>
        <v>View</v>
      </c>
      <c r="F69" t="s">
        <v>17</v>
      </c>
      <c r="G69" t="s">
        <v>18</v>
      </c>
      <c r="H69">
        <v>324726</v>
      </c>
      <c r="I69" t="str">
        <f t="shared" si="4"/>
        <v>View</v>
      </c>
      <c r="J69" t="s">
        <v>17</v>
      </c>
      <c r="K69" t="s">
        <v>21</v>
      </c>
      <c r="L69">
        <v>324726</v>
      </c>
      <c r="M69">
        <v>89.66</v>
      </c>
      <c r="N69">
        <v>98.05</v>
      </c>
      <c r="P69">
        <v>1</v>
      </c>
    </row>
    <row r="70" spans="1:16" x14ac:dyDescent="0.3">
      <c r="A70">
        <v>68</v>
      </c>
      <c r="B70" t="str">
        <f>HYPERLINK("https://imapinvasives.natureserve.org/imap/services/page/Presence/1159086.html", "View")</f>
        <v>View</v>
      </c>
      <c r="C70">
        <v>1159086</v>
      </c>
      <c r="D70">
        <v>1166162</v>
      </c>
      <c r="E70" t="str">
        <f>HYPERLINK("http://imap3images.s3-website-us-east-1.amazonaws.com/1166162/p/inat_photo_151224434.jpg", "View")</f>
        <v>View</v>
      </c>
      <c r="F70" t="s">
        <v>17</v>
      </c>
      <c r="G70" t="s">
        <v>18</v>
      </c>
      <c r="H70">
        <v>324726</v>
      </c>
      <c r="I70" t="str">
        <f t="shared" si="4"/>
        <v>View</v>
      </c>
      <c r="J70" t="s">
        <v>17</v>
      </c>
      <c r="K70" t="s">
        <v>21</v>
      </c>
      <c r="L70">
        <v>324726</v>
      </c>
      <c r="M70">
        <v>89.66</v>
      </c>
      <c r="N70">
        <v>99.95</v>
      </c>
      <c r="P70">
        <v>1</v>
      </c>
    </row>
    <row r="71" spans="1:16" x14ac:dyDescent="0.3">
      <c r="A71">
        <v>69</v>
      </c>
      <c r="B71" t="str">
        <f>HYPERLINK("https://imapinvasives.natureserve.org/imap/services/page/Presence/1165527.html", "View")</f>
        <v>View</v>
      </c>
      <c r="C71">
        <v>1165527</v>
      </c>
      <c r="D71">
        <v>1172791</v>
      </c>
      <c r="E71" t="str">
        <f>HYPERLINK("http://imap3images.s3-website-us-east-1.amazonaws.com/1172791/p/inat_photo_160105247.jpg", "View")</f>
        <v>View</v>
      </c>
      <c r="F71" t="s">
        <v>17</v>
      </c>
      <c r="G71" t="s">
        <v>18</v>
      </c>
      <c r="H71">
        <v>324726</v>
      </c>
      <c r="I71" t="str">
        <f t="shared" si="4"/>
        <v>View</v>
      </c>
      <c r="J71" t="s">
        <v>17</v>
      </c>
      <c r="K71" t="s">
        <v>21</v>
      </c>
      <c r="L71">
        <v>324726</v>
      </c>
      <c r="M71">
        <v>89.66</v>
      </c>
      <c r="N71">
        <v>99.97</v>
      </c>
      <c r="P71">
        <v>1</v>
      </c>
    </row>
    <row r="72" spans="1:16" x14ac:dyDescent="0.3">
      <c r="A72">
        <v>70</v>
      </c>
      <c r="B72" t="str">
        <f>HYPERLINK("https://imapinvasives.natureserve.org/imap/services/page/Presence/1162081.html", "View")</f>
        <v>View</v>
      </c>
      <c r="C72">
        <v>1162081</v>
      </c>
      <c r="D72">
        <v>1169249</v>
      </c>
      <c r="E72" t="str">
        <f>HYPERLINK("http://imap3images.s3-website-us-east-1.amazonaws.com/1169249/p/inat_photo_155194536.jpg", "View")</f>
        <v>View</v>
      </c>
      <c r="F72" t="s">
        <v>17</v>
      </c>
      <c r="G72" t="s">
        <v>18</v>
      </c>
      <c r="H72">
        <v>324726</v>
      </c>
      <c r="I72" t="str">
        <f t="shared" si="4"/>
        <v>View</v>
      </c>
      <c r="J72" t="s">
        <v>17</v>
      </c>
      <c r="K72" t="s">
        <v>21</v>
      </c>
      <c r="L72">
        <v>324726</v>
      </c>
      <c r="M72">
        <v>89.66</v>
      </c>
      <c r="N72">
        <v>90.73</v>
      </c>
      <c r="P72">
        <v>1</v>
      </c>
    </row>
    <row r="73" spans="1:16" x14ac:dyDescent="0.3">
      <c r="A73">
        <v>71</v>
      </c>
      <c r="B73" t="str">
        <f>HYPERLINK("https://imapinvasives.natureserve.org/imap/services/page/Presence/1163600.html", "View")</f>
        <v>View</v>
      </c>
      <c r="C73">
        <v>1163600</v>
      </c>
      <c r="D73">
        <v>1170803</v>
      </c>
      <c r="E73" t="str">
        <f>HYPERLINK("http://imap3images.s3-website-us-east-1.amazonaws.com/1170803/p/imap_app_photo_1631654493683.jpg", "View")</f>
        <v>View</v>
      </c>
      <c r="F73" t="s">
        <v>17</v>
      </c>
      <c r="G73" t="s">
        <v>18</v>
      </c>
      <c r="H73">
        <v>324726</v>
      </c>
      <c r="I73" t="str">
        <f t="shared" si="4"/>
        <v>View</v>
      </c>
      <c r="J73" t="s">
        <v>17</v>
      </c>
      <c r="K73" t="s">
        <v>21</v>
      </c>
      <c r="L73">
        <v>324726</v>
      </c>
      <c r="M73">
        <v>89.66</v>
      </c>
      <c r="N73">
        <v>99.8</v>
      </c>
      <c r="P73">
        <v>1</v>
      </c>
    </row>
    <row r="74" spans="1:16" x14ac:dyDescent="0.3">
      <c r="A74">
        <v>72</v>
      </c>
      <c r="B74" t="str">
        <f>HYPERLINK("https://imapinvasives.natureserve.org/imap/services/page/Presence/1174106.html", "View")</f>
        <v>View</v>
      </c>
      <c r="C74">
        <v>1174106</v>
      </c>
      <c r="D74">
        <v>1181644</v>
      </c>
      <c r="E74" t="str">
        <f>HYPERLINK("http://imap3images.s3-website-us-east-1.amazonaws.com/1181644/p/inat_photo_163284492.jpg", "View")</f>
        <v>View</v>
      </c>
      <c r="F74" t="s">
        <v>17</v>
      </c>
      <c r="G74" t="s">
        <v>18</v>
      </c>
      <c r="H74">
        <v>324726</v>
      </c>
      <c r="I74" t="str">
        <f>HYPERLINK("https://www.inaturalist.org/taxa/50278-Parthenocissus-quinquefolia", "View")</f>
        <v>View</v>
      </c>
      <c r="J74" t="s">
        <v>35</v>
      </c>
      <c r="K74" t="s">
        <v>36</v>
      </c>
      <c r="L74">
        <v>50278</v>
      </c>
      <c r="M74">
        <v>87.87</v>
      </c>
      <c r="N74">
        <v>53.3</v>
      </c>
      <c r="P74">
        <v>0</v>
      </c>
    </row>
    <row r="75" spans="1:16" x14ac:dyDescent="0.3">
      <c r="A75">
        <v>73</v>
      </c>
      <c r="B75" t="str">
        <f>HYPERLINK("https://imapinvasives.natureserve.org/imap/services/page/Presence/1355056.html", "View")</f>
        <v>View</v>
      </c>
      <c r="C75">
        <v>1355056</v>
      </c>
      <c r="D75">
        <v>1372688</v>
      </c>
      <c r="E75" t="str">
        <f>HYPERLINK("http://imap3images.s3-website-us-east-1.amazonaws.com/1372688/p/IMG_2246.jpeg", "View")</f>
        <v>View</v>
      </c>
      <c r="F75" t="s">
        <v>17</v>
      </c>
      <c r="G75" t="s">
        <v>18</v>
      </c>
      <c r="H75">
        <v>324726</v>
      </c>
      <c r="I75" t="str">
        <f t="shared" ref="I75:I90" si="5">HYPERLINK("https://www.inaturalist.org/taxa/324726-Lycorma-delicatula", "View")</f>
        <v>View</v>
      </c>
      <c r="J75" t="s">
        <v>17</v>
      </c>
      <c r="K75" t="s">
        <v>21</v>
      </c>
      <c r="L75">
        <v>324726</v>
      </c>
      <c r="M75">
        <v>81.28</v>
      </c>
      <c r="N75">
        <v>99.22</v>
      </c>
      <c r="P75">
        <v>1</v>
      </c>
    </row>
    <row r="76" spans="1:16" x14ac:dyDescent="0.3">
      <c r="A76">
        <v>74</v>
      </c>
      <c r="B76" t="str">
        <f>HYPERLINK("https://imapinvasives.natureserve.org/imap/services/page/Presence/1335243.html", "View")</f>
        <v>View</v>
      </c>
      <c r="C76">
        <v>1335243</v>
      </c>
      <c r="D76">
        <v>1349520</v>
      </c>
      <c r="E76" t="str">
        <f>HYPERLINK("http://imap3images.s3-website-us-east-1.amazonaws.com/1349520/p/inat_photo_285989057.jpg", "View")</f>
        <v>View</v>
      </c>
      <c r="F76" t="s">
        <v>17</v>
      </c>
      <c r="G76" t="s">
        <v>18</v>
      </c>
      <c r="H76">
        <v>324726</v>
      </c>
      <c r="I76" t="str">
        <f t="shared" si="5"/>
        <v>View</v>
      </c>
      <c r="J76" t="s">
        <v>17</v>
      </c>
      <c r="K76" t="s">
        <v>21</v>
      </c>
      <c r="L76">
        <v>324726</v>
      </c>
      <c r="M76">
        <v>63.27</v>
      </c>
      <c r="N76">
        <v>99.57</v>
      </c>
      <c r="P76">
        <v>1</v>
      </c>
    </row>
    <row r="77" spans="1:16" x14ac:dyDescent="0.3">
      <c r="A77">
        <v>75</v>
      </c>
      <c r="B77" t="str">
        <f>HYPERLINK("https://imapinvasives.natureserve.org/imap/services/page/Presence/1355149.html", "View")</f>
        <v>View</v>
      </c>
      <c r="C77">
        <v>1355149</v>
      </c>
      <c r="D77">
        <v>1372781</v>
      </c>
      <c r="E77" t="str">
        <f>HYPERLINK("http://imap3images.s3-website-us-east-1.amazonaws.com/1372781/p/IMG_1122.jpeg", "View")</f>
        <v>View</v>
      </c>
      <c r="F77" t="s">
        <v>17</v>
      </c>
      <c r="G77" t="s">
        <v>18</v>
      </c>
      <c r="H77">
        <v>324726</v>
      </c>
      <c r="I77" t="str">
        <f t="shared" si="5"/>
        <v>View</v>
      </c>
      <c r="J77" t="s">
        <v>17</v>
      </c>
      <c r="K77" t="s">
        <v>21</v>
      </c>
      <c r="L77">
        <v>324726</v>
      </c>
      <c r="M77">
        <v>81.28</v>
      </c>
      <c r="N77">
        <v>99.96</v>
      </c>
      <c r="P77">
        <v>1</v>
      </c>
    </row>
    <row r="78" spans="1:16" x14ac:dyDescent="0.3">
      <c r="A78">
        <v>76</v>
      </c>
      <c r="B78" t="str">
        <f>HYPERLINK("https://imapinvasives.natureserve.org/imap/services/page/Presence/1345671.html", "View")</f>
        <v>View</v>
      </c>
      <c r="C78">
        <v>1345671</v>
      </c>
      <c r="D78">
        <v>1361908</v>
      </c>
      <c r="E78" t="str">
        <f>HYPERLINK("http://imap3images.s3-website-us-east-1.amazonaws.com/1361908/p/inat_photo_307829962.jpg", "View")</f>
        <v>View</v>
      </c>
      <c r="F78" t="s">
        <v>17</v>
      </c>
      <c r="G78" t="s">
        <v>18</v>
      </c>
      <c r="H78">
        <v>324726</v>
      </c>
      <c r="I78" t="str">
        <f t="shared" si="5"/>
        <v>View</v>
      </c>
      <c r="J78" t="s">
        <v>17</v>
      </c>
      <c r="K78" t="s">
        <v>21</v>
      </c>
      <c r="L78">
        <v>324726</v>
      </c>
      <c r="M78">
        <v>81.28</v>
      </c>
      <c r="N78">
        <v>97.81</v>
      </c>
      <c r="P78">
        <v>1</v>
      </c>
    </row>
    <row r="79" spans="1:16" x14ac:dyDescent="0.3">
      <c r="A79">
        <v>77</v>
      </c>
      <c r="B79" t="str">
        <f>HYPERLINK("https://imapinvasives.natureserve.org/imap/services/page/Presence/1299695.html", "View")</f>
        <v>View</v>
      </c>
      <c r="C79">
        <v>1299695</v>
      </c>
      <c r="D79">
        <v>1310056</v>
      </c>
      <c r="E79" t="str">
        <f>HYPERLINK("http://imap3images.s3-website-us-east-1.amazonaws.com/1310056/p/SLF_find_10_19_2022.jpg", "View")</f>
        <v>View</v>
      </c>
      <c r="F79" t="s">
        <v>17</v>
      </c>
      <c r="G79" t="s">
        <v>18</v>
      </c>
      <c r="H79">
        <v>324726</v>
      </c>
      <c r="I79" t="str">
        <f t="shared" si="5"/>
        <v>View</v>
      </c>
      <c r="J79" t="s">
        <v>17</v>
      </c>
      <c r="K79" t="s">
        <v>21</v>
      </c>
      <c r="L79">
        <v>324726</v>
      </c>
      <c r="M79">
        <v>63.27</v>
      </c>
      <c r="N79">
        <v>42.91</v>
      </c>
      <c r="P79">
        <v>1</v>
      </c>
    </row>
    <row r="80" spans="1:16" x14ac:dyDescent="0.3">
      <c r="A80">
        <v>78</v>
      </c>
      <c r="B80" t="str">
        <f>HYPERLINK("https://imapinvasives.natureserve.org/imap/services/page/Presence/1337424.html", "View")</f>
        <v>View</v>
      </c>
      <c r="C80">
        <v>1337424</v>
      </c>
      <c r="D80">
        <v>1351956</v>
      </c>
      <c r="E80" t="str">
        <f>HYPERLINK("http://imap3images.s3-website-us-east-1.amazonaws.com/1351956/p/inat_photo_292404374.jpg", "View")</f>
        <v>View</v>
      </c>
      <c r="F80" t="s">
        <v>17</v>
      </c>
      <c r="G80" t="s">
        <v>18</v>
      </c>
      <c r="H80">
        <v>324726</v>
      </c>
      <c r="I80" t="str">
        <f t="shared" si="5"/>
        <v>View</v>
      </c>
      <c r="J80" t="s">
        <v>17</v>
      </c>
      <c r="K80" t="s">
        <v>21</v>
      </c>
      <c r="L80">
        <v>324726</v>
      </c>
      <c r="M80">
        <v>81.28</v>
      </c>
      <c r="N80">
        <v>99.96</v>
      </c>
      <c r="P80">
        <v>1</v>
      </c>
    </row>
    <row r="81" spans="1:16" x14ac:dyDescent="0.3">
      <c r="A81">
        <v>79</v>
      </c>
      <c r="B81" t="str">
        <f>HYPERLINK("https://imapinvasives.natureserve.org/imap/services/page/Presence/1355160.html", "View")</f>
        <v>View</v>
      </c>
      <c r="C81">
        <v>1355160</v>
      </c>
      <c r="D81">
        <v>1372792</v>
      </c>
      <c r="E81" t="str">
        <f>HYPERLINK("http://imap3images.s3-website-us-east-1.amazonaws.com/1372792/p/16931700415596949245265403159990.jpg", "View")</f>
        <v>View</v>
      </c>
      <c r="F81" t="s">
        <v>17</v>
      </c>
      <c r="G81" t="s">
        <v>18</v>
      </c>
      <c r="H81">
        <v>324726</v>
      </c>
      <c r="I81" t="str">
        <f t="shared" si="5"/>
        <v>View</v>
      </c>
      <c r="J81" t="s">
        <v>17</v>
      </c>
      <c r="K81" t="s">
        <v>21</v>
      </c>
      <c r="L81">
        <v>324726</v>
      </c>
      <c r="M81">
        <v>63.27</v>
      </c>
      <c r="N81">
        <v>98.92</v>
      </c>
      <c r="P81">
        <v>1</v>
      </c>
    </row>
    <row r="82" spans="1:16" x14ac:dyDescent="0.3">
      <c r="A82">
        <v>80</v>
      </c>
      <c r="B82" t="str">
        <f>HYPERLINK("https://imapinvasives.natureserve.org/imap/services/page/Presence/1343537.html", "View")</f>
        <v>View</v>
      </c>
      <c r="C82">
        <v>1343537</v>
      </c>
      <c r="D82">
        <v>1359126</v>
      </c>
      <c r="E82" t="str">
        <f>HYPERLINK("http://imap3images.s3-website-us-east-1.amazonaws.com/1359126/p/inat_photo_302136905.jpg", "View")</f>
        <v>View</v>
      </c>
      <c r="F82" t="s">
        <v>17</v>
      </c>
      <c r="G82" t="s">
        <v>18</v>
      </c>
      <c r="H82">
        <v>324726</v>
      </c>
      <c r="I82" t="str">
        <f t="shared" si="5"/>
        <v>View</v>
      </c>
      <c r="J82" t="s">
        <v>17</v>
      </c>
      <c r="K82" t="s">
        <v>21</v>
      </c>
      <c r="L82">
        <v>324726</v>
      </c>
      <c r="M82">
        <v>76.7</v>
      </c>
      <c r="N82">
        <v>99.96</v>
      </c>
      <c r="P82">
        <v>1</v>
      </c>
    </row>
    <row r="83" spans="1:16" x14ac:dyDescent="0.3">
      <c r="A83">
        <v>81</v>
      </c>
      <c r="B83" t="str">
        <f>HYPERLINK("https://imapinvasives.natureserve.org/imap/services/page/Presence/1441321.html", "View")</f>
        <v>View</v>
      </c>
      <c r="C83">
        <v>1441321</v>
      </c>
      <c r="D83">
        <v>1455779</v>
      </c>
      <c r="E83" t="str">
        <f>HYPERLINK("http://imap3images.s3-website-us-east-1.amazonaws.com/1455779/p/imap_app_photo_1723909309844.jpg", "View")</f>
        <v>View</v>
      </c>
      <c r="F83" t="s">
        <v>17</v>
      </c>
      <c r="G83" t="s">
        <v>18</v>
      </c>
      <c r="H83">
        <v>324726</v>
      </c>
      <c r="I83" t="str">
        <f t="shared" si="5"/>
        <v>View</v>
      </c>
      <c r="J83" t="s">
        <v>17</v>
      </c>
      <c r="K83" t="s">
        <v>21</v>
      </c>
      <c r="L83">
        <v>324726</v>
      </c>
      <c r="M83">
        <v>81.28</v>
      </c>
      <c r="N83">
        <v>99.83</v>
      </c>
      <c r="P83">
        <v>1</v>
      </c>
    </row>
    <row r="84" spans="1:16" x14ac:dyDescent="0.3">
      <c r="A84">
        <v>82</v>
      </c>
      <c r="B84" t="str">
        <f>HYPERLINK("https://imapinvasives.natureserve.org/imap/services/page/Presence/1337561.html", "View")</f>
        <v>View</v>
      </c>
      <c r="C84">
        <v>1337561</v>
      </c>
      <c r="D84">
        <v>1352098</v>
      </c>
      <c r="E84" t="str">
        <f>HYPERLINK("http://imap3images.s3-website-us-east-1.amazonaws.com/1352098/p/PXL_20230628_181219893.jpg", "View")</f>
        <v>View</v>
      </c>
      <c r="F84" t="s">
        <v>17</v>
      </c>
      <c r="G84" t="s">
        <v>18</v>
      </c>
      <c r="H84">
        <v>324726</v>
      </c>
      <c r="I84" t="str">
        <f t="shared" si="5"/>
        <v>View</v>
      </c>
      <c r="J84" t="s">
        <v>17</v>
      </c>
      <c r="K84" t="s">
        <v>21</v>
      </c>
      <c r="L84">
        <v>324726</v>
      </c>
      <c r="M84">
        <v>81.28</v>
      </c>
      <c r="N84">
        <v>60.69</v>
      </c>
      <c r="P84">
        <v>1</v>
      </c>
    </row>
    <row r="85" spans="1:16" x14ac:dyDescent="0.3">
      <c r="A85">
        <v>83</v>
      </c>
      <c r="B85" t="str">
        <f>HYPERLINK("https://imapinvasives.natureserve.org/imap/services/page/Presence/1355048.html", "View")</f>
        <v>View</v>
      </c>
      <c r="C85">
        <v>1355048</v>
      </c>
      <c r="D85">
        <v>1372680</v>
      </c>
      <c r="E85" t="str">
        <f>HYPERLINK("http://imap3images.s3-website-us-east-1.amazonaws.com/1372680/p/IMG_4791.jpeg", "View")</f>
        <v>View</v>
      </c>
      <c r="F85" t="s">
        <v>17</v>
      </c>
      <c r="G85" t="s">
        <v>18</v>
      </c>
      <c r="H85">
        <v>324726</v>
      </c>
      <c r="I85" t="str">
        <f t="shared" si="5"/>
        <v>View</v>
      </c>
      <c r="J85" t="s">
        <v>17</v>
      </c>
      <c r="K85" t="s">
        <v>21</v>
      </c>
      <c r="L85">
        <v>324726</v>
      </c>
      <c r="M85">
        <v>63.27</v>
      </c>
      <c r="N85">
        <v>99.97</v>
      </c>
      <c r="P85">
        <v>1</v>
      </c>
    </row>
    <row r="86" spans="1:16" x14ac:dyDescent="0.3">
      <c r="A86">
        <v>84</v>
      </c>
      <c r="B86" t="str">
        <f>HYPERLINK("https://imapinvasives.natureserve.org/imap/services/page/Presence/1355275.html", "View")</f>
        <v>View</v>
      </c>
      <c r="C86">
        <v>1355275</v>
      </c>
      <c r="D86">
        <v>1372907</v>
      </c>
      <c r="E86" t="str">
        <f>HYPERLINK("http://imap3images.s3-website-us-east-1.amazonaws.com/1372907/p/IMG_5094.jpeg", "View")</f>
        <v>View</v>
      </c>
      <c r="F86" t="s">
        <v>17</v>
      </c>
      <c r="G86" t="s">
        <v>18</v>
      </c>
      <c r="H86">
        <v>324726</v>
      </c>
      <c r="I86" t="str">
        <f t="shared" si="5"/>
        <v>View</v>
      </c>
      <c r="J86" t="s">
        <v>17</v>
      </c>
      <c r="K86" t="s">
        <v>21</v>
      </c>
      <c r="L86">
        <v>324726</v>
      </c>
      <c r="M86">
        <v>76.7</v>
      </c>
      <c r="N86">
        <v>93.61</v>
      </c>
      <c r="P86">
        <v>1</v>
      </c>
    </row>
    <row r="87" spans="1:16" x14ac:dyDescent="0.3">
      <c r="A87">
        <v>85</v>
      </c>
      <c r="B87" t="str">
        <f>HYPERLINK("https://imapinvasives.natureserve.org/imap/services/page/Presence/1355158.html", "View")</f>
        <v>View</v>
      </c>
      <c r="C87">
        <v>1355158</v>
      </c>
      <c r="D87">
        <v>1372790</v>
      </c>
      <c r="E87" t="str">
        <f>HYPERLINK("http://imap3images.s3-website-us-east-1.amazonaws.com/1372790/p/468DDB2A-4D2C-4F8A-AF96-B9DA95284A65.jpeg", "View")</f>
        <v>View</v>
      </c>
      <c r="F87" t="s">
        <v>17</v>
      </c>
      <c r="G87" t="s">
        <v>18</v>
      </c>
      <c r="H87">
        <v>324726</v>
      </c>
      <c r="I87" t="str">
        <f t="shared" si="5"/>
        <v>View</v>
      </c>
      <c r="J87" t="s">
        <v>17</v>
      </c>
      <c r="K87" t="s">
        <v>21</v>
      </c>
      <c r="L87">
        <v>324726</v>
      </c>
      <c r="M87">
        <v>81.28</v>
      </c>
      <c r="N87">
        <v>99.73</v>
      </c>
      <c r="P87">
        <v>1</v>
      </c>
    </row>
    <row r="88" spans="1:16" x14ac:dyDescent="0.3">
      <c r="A88">
        <v>86</v>
      </c>
      <c r="B88" t="str">
        <f>HYPERLINK("https://imapinvasives.natureserve.org/imap/services/page/Presence/1355035.html", "View")</f>
        <v>View</v>
      </c>
      <c r="C88">
        <v>1355035</v>
      </c>
      <c r="D88">
        <v>1372667</v>
      </c>
      <c r="E88" t="str">
        <f>HYPERLINK("http://imap3images.s3-website-us-east-1.amazonaws.com/1372667/p/36A224D8-5C12-4A23-AAAA-25C877B92185.jpeg", "View")</f>
        <v>View</v>
      </c>
      <c r="F88" t="s">
        <v>17</v>
      </c>
      <c r="G88" t="s">
        <v>18</v>
      </c>
      <c r="H88">
        <v>324726</v>
      </c>
      <c r="I88" t="str">
        <f t="shared" si="5"/>
        <v>View</v>
      </c>
      <c r="J88" t="s">
        <v>17</v>
      </c>
      <c r="K88" t="s">
        <v>21</v>
      </c>
      <c r="L88">
        <v>324726</v>
      </c>
      <c r="M88">
        <v>81.28</v>
      </c>
      <c r="N88">
        <v>99.44</v>
      </c>
      <c r="P88">
        <v>1</v>
      </c>
    </row>
    <row r="89" spans="1:16" x14ac:dyDescent="0.3">
      <c r="A89">
        <v>87</v>
      </c>
      <c r="B89" t="str">
        <f>HYPERLINK("https://imapinvasives.natureserve.org/imap/services/page/Presence/1354836.html", "View")</f>
        <v>View</v>
      </c>
      <c r="C89">
        <v>1354836</v>
      </c>
      <c r="D89">
        <v>1372459</v>
      </c>
      <c r="E89" t="str">
        <f>HYPERLINK("http://imap3images.s3-website-us-east-1.amazonaws.com/1372459/p/IMG_4243.jpg", "View")</f>
        <v>View</v>
      </c>
      <c r="F89" t="s">
        <v>17</v>
      </c>
      <c r="G89" t="s">
        <v>18</v>
      </c>
      <c r="H89">
        <v>324726</v>
      </c>
      <c r="I89" t="str">
        <f t="shared" si="5"/>
        <v>View</v>
      </c>
      <c r="J89" t="s">
        <v>17</v>
      </c>
      <c r="K89" t="s">
        <v>21</v>
      </c>
      <c r="L89">
        <v>324726</v>
      </c>
      <c r="M89">
        <v>76.7</v>
      </c>
      <c r="N89">
        <v>99.85</v>
      </c>
      <c r="P89">
        <v>1</v>
      </c>
    </row>
    <row r="90" spans="1:16" x14ac:dyDescent="0.3">
      <c r="A90">
        <v>88</v>
      </c>
      <c r="B90" t="str">
        <f>HYPERLINK("https://imapinvasives.natureserve.org/imap/services/page/Presence/1353991.html", "View")</f>
        <v>View</v>
      </c>
      <c r="C90">
        <v>1353991</v>
      </c>
      <c r="D90">
        <v>1371415</v>
      </c>
      <c r="E90" t="str">
        <f>HYPERLINK("http://imap3images.s3-website-us-east-1.amazonaws.com/1371415/p/20230914_131311.jpg", "View")</f>
        <v>View</v>
      </c>
      <c r="F90" t="s">
        <v>17</v>
      </c>
      <c r="G90" t="s">
        <v>18</v>
      </c>
      <c r="H90">
        <v>324726</v>
      </c>
      <c r="I90" t="str">
        <f t="shared" si="5"/>
        <v>View</v>
      </c>
      <c r="J90" t="s">
        <v>17</v>
      </c>
      <c r="K90" t="s">
        <v>21</v>
      </c>
      <c r="L90">
        <v>324726</v>
      </c>
      <c r="M90">
        <v>81.28</v>
      </c>
      <c r="N90">
        <v>18.850000000000001</v>
      </c>
      <c r="P90">
        <v>1</v>
      </c>
    </row>
    <row r="91" spans="1:16" x14ac:dyDescent="0.3">
      <c r="A91">
        <v>89</v>
      </c>
      <c r="B91" t="str">
        <f>HYPERLINK("https://imapinvasives.natureserve.org/imap/services/page/Presence/1298779.html", "View")</f>
        <v>View</v>
      </c>
      <c r="C91">
        <v>1298779</v>
      </c>
      <c r="D91">
        <v>1309102</v>
      </c>
      <c r="E91" t="str">
        <f>HYPERLINK("http://imap3images.s3-website-us-east-1.amazonaws.com/1309102/p/10-6-2022_SLFinTrap-2.jpg", "View")</f>
        <v>View</v>
      </c>
      <c r="F91" t="s">
        <v>17</v>
      </c>
      <c r="G91" t="s">
        <v>18</v>
      </c>
      <c r="H91">
        <v>324726</v>
      </c>
      <c r="I91" t="str">
        <f>HYPERLINK("https://www.inaturalist.org/taxa/62045-Lygaeus-kalmii", "View")</f>
        <v>View</v>
      </c>
      <c r="J91" t="s">
        <v>37</v>
      </c>
      <c r="K91" t="s">
        <v>38</v>
      </c>
      <c r="L91">
        <v>62045</v>
      </c>
      <c r="M91">
        <v>65.5</v>
      </c>
      <c r="N91">
        <v>20.54</v>
      </c>
      <c r="P91">
        <v>0</v>
      </c>
    </row>
    <row r="92" spans="1:16" x14ac:dyDescent="0.3">
      <c r="A92">
        <v>90</v>
      </c>
      <c r="B92" t="str">
        <f>HYPERLINK("https://imapinvasives.natureserve.org/imap/services/page/Presence/1344885.html", "View")</f>
        <v>View</v>
      </c>
      <c r="C92">
        <v>1344885</v>
      </c>
      <c r="D92">
        <v>1360984</v>
      </c>
      <c r="E92" t="str">
        <f>HYPERLINK("http://imap3images.s3-website-us-east-1.amazonaws.com/1360984/p/imap_app_photo_1691152557982.jpg", "View")</f>
        <v>View</v>
      </c>
      <c r="F92" t="s">
        <v>17</v>
      </c>
      <c r="G92" t="s">
        <v>18</v>
      </c>
      <c r="H92">
        <v>324726</v>
      </c>
      <c r="I92" t="str">
        <f t="shared" ref="I92:I97" si="6">HYPERLINK("https://www.inaturalist.org/taxa/324726-Lycorma-delicatula", "View")</f>
        <v>View</v>
      </c>
      <c r="J92" t="s">
        <v>17</v>
      </c>
      <c r="K92" t="s">
        <v>21</v>
      </c>
      <c r="L92">
        <v>324726</v>
      </c>
      <c r="M92">
        <v>76.7</v>
      </c>
      <c r="N92">
        <v>99.89</v>
      </c>
      <c r="P92">
        <v>1</v>
      </c>
    </row>
    <row r="93" spans="1:16" x14ac:dyDescent="0.3">
      <c r="A93">
        <v>91</v>
      </c>
      <c r="B93" t="str">
        <f>HYPERLINK("https://imapinvasives.natureserve.org/imap/services/page/Presence/1341051.html", "View")</f>
        <v>View</v>
      </c>
      <c r="C93">
        <v>1341051</v>
      </c>
      <c r="D93">
        <v>1356270</v>
      </c>
      <c r="E93" t="str">
        <f>HYPERLINK("http://imap3images.s3-website-us-east-1.amazonaws.com/1356270/p/inat_photo_299052823.jpg", "View")</f>
        <v>View</v>
      </c>
      <c r="F93" t="s">
        <v>17</v>
      </c>
      <c r="G93" t="s">
        <v>18</v>
      </c>
      <c r="H93">
        <v>324726</v>
      </c>
      <c r="I93" t="str">
        <f t="shared" si="6"/>
        <v>View</v>
      </c>
      <c r="J93" t="s">
        <v>17</v>
      </c>
      <c r="K93" t="s">
        <v>21</v>
      </c>
      <c r="L93">
        <v>324726</v>
      </c>
      <c r="M93">
        <v>63.27</v>
      </c>
      <c r="N93">
        <v>99.98</v>
      </c>
      <c r="P93">
        <v>1</v>
      </c>
    </row>
    <row r="94" spans="1:16" x14ac:dyDescent="0.3">
      <c r="A94">
        <v>92</v>
      </c>
      <c r="B94" t="str">
        <f>HYPERLINK("https://imapinvasives.natureserve.org/imap/services/page/Presence/1159297.html", "View")</f>
        <v>View</v>
      </c>
      <c r="C94">
        <v>1159297</v>
      </c>
      <c r="D94">
        <v>1166379</v>
      </c>
      <c r="E94" t="str">
        <f>HYPERLINK("http://imap3images.s3-website-us-east-1.amazonaws.com/1166379/p/inat_photo_151695203.jpg", "View")</f>
        <v>View</v>
      </c>
      <c r="F94" t="s">
        <v>17</v>
      </c>
      <c r="G94" t="s">
        <v>18</v>
      </c>
      <c r="H94">
        <v>324726</v>
      </c>
      <c r="I94" t="str">
        <f t="shared" si="6"/>
        <v>View</v>
      </c>
      <c r="J94" t="s">
        <v>17</v>
      </c>
      <c r="K94" t="s">
        <v>21</v>
      </c>
      <c r="L94">
        <v>324726</v>
      </c>
      <c r="M94">
        <v>81.28</v>
      </c>
      <c r="N94">
        <v>99.96</v>
      </c>
      <c r="P94">
        <v>1</v>
      </c>
    </row>
    <row r="95" spans="1:16" x14ac:dyDescent="0.3">
      <c r="A95">
        <v>93</v>
      </c>
      <c r="B95" t="str">
        <f>HYPERLINK("https://imapinvasives.natureserve.org/imap/services/page/Presence/1337427.html", "View")</f>
        <v>View</v>
      </c>
      <c r="C95">
        <v>1337427</v>
      </c>
      <c r="D95">
        <v>1351959</v>
      </c>
      <c r="E95" t="str">
        <f>HYPERLINK("http://imap3images.s3-website-us-east-1.amazonaws.com/1351959/p/inat_photo_292828029.jpg", "View")</f>
        <v>View</v>
      </c>
      <c r="F95" t="s">
        <v>17</v>
      </c>
      <c r="G95" t="s">
        <v>18</v>
      </c>
      <c r="H95">
        <v>324726</v>
      </c>
      <c r="I95" t="str">
        <f t="shared" si="6"/>
        <v>View</v>
      </c>
      <c r="J95" t="s">
        <v>17</v>
      </c>
      <c r="K95" t="s">
        <v>21</v>
      </c>
      <c r="L95">
        <v>324726</v>
      </c>
      <c r="M95">
        <v>81.28</v>
      </c>
      <c r="N95">
        <v>99.79</v>
      </c>
      <c r="P95">
        <v>1</v>
      </c>
    </row>
    <row r="96" spans="1:16" x14ac:dyDescent="0.3">
      <c r="A96">
        <v>94</v>
      </c>
      <c r="B96" t="str">
        <f>HYPERLINK("https://imapinvasives.natureserve.org/imap/services/page/Presence/1283633.html", "View")</f>
        <v>View</v>
      </c>
      <c r="C96">
        <v>1283633</v>
      </c>
      <c r="D96">
        <v>1293146</v>
      </c>
      <c r="E96" t="str">
        <f>HYPERLINK("http://imap3images.s3-website-us-east-1.amazonaws.com/1293146/p/inat_photo_216729777.jpg", "View")</f>
        <v>View</v>
      </c>
      <c r="F96" t="s">
        <v>17</v>
      </c>
      <c r="G96" t="s">
        <v>18</v>
      </c>
      <c r="H96">
        <v>324726</v>
      </c>
      <c r="I96" t="str">
        <f t="shared" si="6"/>
        <v>View</v>
      </c>
      <c r="J96" t="s">
        <v>17</v>
      </c>
      <c r="K96" t="s">
        <v>21</v>
      </c>
      <c r="L96">
        <v>324726</v>
      </c>
      <c r="M96">
        <v>81.28</v>
      </c>
      <c r="N96">
        <v>99.94</v>
      </c>
      <c r="P96">
        <v>1</v>
      </c>
    </row>
    <row r="97" spans="1:16" x14ac:dyDescent="0.3">
      <c r="A97">
        <v>95</v>
      </c>
      <c r="B97" t="str">
        <f>HYPERLINK("https://imapinvasives.natureserve.org/imap/services/page/Presence/1335835.html", "View")</f>
        <v>View</v>
      </c>
      <c r="C97">
        <v>1335835</v>
      </c>
      <c r="D97">
        <v>1350179</v>
      </c>
      <c r="E97" t="str">
        <f>HYPERLINK("http://imap3images.s3-website-us-east-1.amazonaws.com/1350179/p/inat_photo_291082846.jpg", "View")</f>
        <v>View</v>
      </c>
      <c r="F97" t="s">
        <v>17</v>
      </c>
      <c r="G97" t="s">
        <v>18</v>
      </c>
      <c r="H97">
        <v>324726</v>
      </c>
      <c r="I97" t="str">
        <f t="shared" si="6"/>
        <v>View</v>
      </c>
      <c r="J97" t="s">
        <v>17</v>
      </c>
      <c r="K97" t="s">
        <v>21</v>
      </c>
      <c r="L97">
        <v>324726</v>
      </c>
      <c r="M97">
        <v>81.28</v>
      </c>
      <c r="N97">
        <v>99.99</v>
      </c>
      <c r="P97">
        <v>1</v>
      </c>
    </row>
    <row r="98" spans="1:16" x14ac:dyDescent="0.3">
      <c r="A98">
        <v>96</v>
      </c>
      <c r="B98" t="str">
        <f>HYPERLINK("https://imapinvasives.natureserve.org/imap/services/page/Presence/1355052.html", "View")</f>
        <v>View</v>
      </c>
      <c r="C98">
        <v>1355052</v>
      </c>
      <c r="D98">
        <v>1372684</v>
      </c>
      <c r="E98" t="str">
        <f>HYPERLINK("http://imap3images.s3-website-us-east-1.amazonaws.com/1372684/p/image.jpg", "View")</f>
        <v>View</v>
      </c>
      <c r="F98" t="s">
        <v>17</v>
      </c>
      <c r="G98" t="s">
        <v>18</v>
      </c>
      <c r="H98">
        <v>324726</v>
      </c>
      <c r="I98" t="str">
        <f>HYPERLINK("https://www.inaturalist.org/taxa/132677-Brochymena-quadripustulata", "View")</f>
        <v>View</v>
      </c>
      <c r="J98" t="s">
        <v>39</v>
      </c>
      <c r="K98" t="s">
        <v>40</v>
      </c>
      <c r="L98">
        <v>132677</v>
      </c>
      <c r="M98">
        <v>2.0499999999999998</v>
      </c>
      <c r="N98">
        <v>7.45</v>
      </c>
      <c r="P98">
        <v>0</v>
      </c>
    </row>
    <row r="99" spans="1:16" x14ac:dyDescent="0.3">
      <c r="A99">
        <v>97</v>
      </c>
      <c r="B99" t="str">
        <f>HYPERLINK("https://imapinvasives.natureserve.org/imap/services/page/Presence/1349036.html", "View")</f>
        <v>View</v>
      </c>
      <c r="C99">
        <v>1349036</v>
      </c>
      <c r="D99">
        <v>1365807</v>
      </c>
      <c r="E99" t="str">
        <f>HYPERLINK("http://imap3images.s3-website-us-east-1.amazonaws.com/1365807/p/imap_app_photo_1692569848989.jpg", "View")</f>
        <v>View</v>
      </c>
      <c r="F99" t="s">
        <v>17</v>
      </c>
      <c r="G99" t="s">
        <v>18</v>
      </c>
      <c r="H99">
        <v>324726</v>
      </c>
      <c r="I99" t="str">
        <f t="shared" ref="I99:I119" si="7">HYPERLINK("https://www.inaturalist.org/taxa/324726-Lycorma-delicatula", "View")</f>
        <v>View</v>
      </c>
      <c r="J99" t="s">
        <v>17</v>
      </c>
      <c r="K99" t="s">
        <v>21</v>
      </c>
      <c r="L99">
        <v>324726</v>
      </c>
      <c r="M99">
        <v>81.28</v>
      </c>
      <c r="N99">
        <v>99.68</v>
      </c>
      <c r="P99">
        <v>1</v>
      </c>
    </row>
    <row r="100" spans="1:16" x14ac:dyDescent="0.3">
      <c r="A100">
        <v>98</v>
      </c>
      <c r="B100" t="str">
        <f>HYPERLINK("https://imapinvasives.natureserve.org/imap/services/page/Presence/1286074.html", "View")</f>
        <v>View</v>
      </c>
      <c r="C100">
        <v>1286074</v>
      </c>
      <c r="D100">
        <v>1295797</v>
      </c>
      <c r="E100" t="str">
        <f>HYPERLINK("http://imap3images.s3-website-us-east-1.amazonaws.com/1295797/p/487BCEB5-DFDC-424D-9EE5-8C621C69D244.jpeg", "View")</f>
        <v>View</v>
      </c>
      <c r="F100" t="s">
        <v>17</v>
      </c>
      <c r="G100" t="s">
        <v>18</v>
      </c>
      <c r="H100">
        <v>324726</v>
      </c>
      <c r="I100" t="str">
        <f t="shared" si="7"/>
        <v>View</v>
      </c>
      <c r="J100" t="s">
        <v>17</v>
      </c>
      <c r="K100" t="s">
        <v>21</v>
      </c>
      <c r="L100">
        <v>324726</v>
      </c>
      <c r="M100">
        <v>81.28</v>
      </c>
      <c r="N100">
        <v>99.95</v>
      </c>
      <c r="P100">
        <v>1</v>
      </c>
    </row>
    <row r="101" spans="1:16" x14ac:dyDescent="0.3">
      <c r="A101">
        <v>99</v>
      </c>
      <c r="B101" t="str">
        <f>HYPERLINK("https://imapinvasives.natureserve.org/imap/services/page/Presence/1154437.html", "View")</f>
        <v>View</v>
      </c>
      <c r="C101">
        <v>1154437</v>
      </c>
      <c r="D101">
        <v>1161471</v>
      </c>
      <c r="E101" t="str">
        <f>HYPERLINK("http://imap3images.s3-website-us-east-1.amazonaws.com/1161471/p/inat_photo_148820457.jpg", "View")</f>
        <v>View</v>
      </c>
      <c r="F101" t="s">
        <v>17</v>
      </c>
      <c r="G101" t="s">
        <v>18</v>
      </c>
      <c r="H101">
        <v>324726</v>
      </c>
      <c r="I101" t="str">
        <f t="shared" si="7"/>
        <v>View</v>
      </c>
      <c r="J101" t="s">
        <v>17</v>
      </c>
      <c r="K101" t="s">
        <v>21</v>
      </c>
      <c r="L101">
        <v>324726</v>
      </c>
      <c r="M101">
        <v>81.28</v>
      </c>
      <c r="N101">
        <v>99.83</v>
      </c>
      <c r="P101">
        <v>1</v>
      </c>
    </row>
    <row r="102" spans="1:16" x14ac:dyDescent="0.3">
      <c r="A102">
        <v>100</v>
      </c>
      <c r="B102" t="str">
        <f>HYPERLINK("https://imapinvasives.natureserve.org/imap/services/page/Presence/1163494.html", "View")</f>
        <v>View</v>
      </c>
      <c r="C102">
        <v>1163494</v>
      </c>
      <c r="D102">
        <v>1170684</v>
      </c>
      <c r="E102" t="str">
        <f>HYPERLINK("http://imap3images.s3-website-us-east-1.amazonaws.com/1170684/p/inat_photo_157184725.jpg", "View")</f>
        <v>View</v>
      </c>
      <c r="F102" t="s">
        <v>17</v>
      </c>
      <c r="G102" t="s">
        <v>18</v>
      </c>
      <c r="H102">
        <v>324726</v>
      </c>
      <c r="I102" t="str">
        <f t="shared" si="7"/>
        <v>View</v>
      </c>
      <c r="J102" t="s">
        <v>17</v>
      </c>
      <c r="K102" t="s">
        <v>21</v>
      </c>
      <c r="L102">
        <v>324726</v>
      </c>
      <c r="M102">
        <v>81.28</v>
      </c>
      <c r="N102">
        <v>99.44</v>
      </c>
      <c r="P102">
        <v>1</v>
      </c>
    </row>
    <row r="103" spans="1:16" x14ac:dyDescent="0.3">
      <c r="A103">
        <v>101</v>
      </c>
      <c r="B103" t="str">
        <f>HYPERLINK("https://imapinvasives.natureserve.org/imap/services/page/Presence/1159648.html", "View")</f>
        <v>View</v>
      </c>
      <c r="C103">
        <v>1159648</v>
      </c>
      <c r="D103">
        <v>1166747</v>
      </c>
      <c r="E103" t="str">
        <f>HYPERLINK("http://imap3images.s3-website-us-east-1.amazonaws.com/1166747/p/inat_photo_152073460.jpg", "View")</f>
        <v>View</v>
      </c>
      <c r="F103" t="s">
        <v>17</v>
      </c>
      <c r="G103" t="s">
        <v>18</v>
      </c>
      <c r="H103">
        <v>324726</v>
      </c>
      <c r="I103" t="str">
        <f t="shared" si="7"/>
        <v>View</v>
      </c>
      <c r="J103" t="s">
        <v>17</v>
      </c>
      <c r="K103" t="s">
        <v>21</v>
      </c>
      <c r="L103">
        <v>324726</v>
      </c>
      <c r="M103">
        <v>81.28</v>
      </c>
      <c r="N103">
        <v>99.96</v>
      </c>
      <c r="P103">
        <v>1</v>
      </c>
    </row>
    <row r="104" spans="1:16" x14ac:dyDescent="0.3">
      <c r="A104">
        <v>102</v>
      </c>
      <c r="B104" t="str">
        <f>HYPERLINK("https://imapinvasives.natureserve.org/imap/services/page/Presence/1068486.html", "View")</f>
        <v>View</v>
      </c>
      <c r="C104">
        <v>1068486</v>
      </c>
      <c r="D104">
        <v>1073313</v>
      </c>
      <c r="E104" t="str">
        <f>HYPERLINK("http://imap3images.s3-website-us-east-1.amazonaws.com/1073313/p/inat_photo_93591877.jpg", "View")</f>
        <v>View</v>
      </c>
      <c r="F104" t="s">
        <v>17</v>
      </c>
      <c r="G104" t="s">
        <v>18</v>
      </c>
      <c r="H104">
        <v>324726</v>
      </c>
      <c r="I104" t="str">
        <f t="shared" si="7"/>
        <v>View</v>
      </c>
      <c r="J104" t="s">
        <v>17</v>
      </c>
      <c r="K104" t="s">
        <v>21</v>
      </c>
      <c r="L104">
        <v>324726</v>
      </c>
      <c r="M104">
        <v>89.66</v>
      </c>
      <c r="N104">
        <v>99.95</v>
      </c>
      <c r="P104">
        <v>1</v>
      </c>
    </row>
    <row r="105" spans="1:16" x14ac:dyDescent="0.3">
      <c r="A105">
        <v>103</v>
      </c>
      <c r="B105" t="str">
        <f>HYPERLINK("https://imapinvasives.natureserve.org/imap/services/page/Presence/1159070.html", "View")</f>
        <v>View</v>
      </c>
      <c r="C105">
        <v>1159070</v>
      </c>
      <c r="D105">
        <v>1166146</v>
      </c>
      <c r="E105" t="str">
        <f>HYPERLINK("http://imap3images.s3-website-us-east-1.amazonaws.com/1166146/p/inat_photo_150800401.jpg", "View")</f>
        <v>View</v>
      </c>
      <c r="F105" t="s">
        <v>17</v>
      </c>
      <c r="G105" t="s">
        <v>18</v>
      </c>
      <c r="H105">
        <v>324726</v>
      </c>
      <c r="I105" t="str">
        <f t="shared" si="7"/>
        <v>View</v>
      </c>
      <c r="J105" t="s">
        <v>17</v>
      </c>
      <c r="K105" t="s">
        <v>21</v>
      </c>
      <c r="L105">
        <v>324726</v>
      </c>
      <c r="M105">
        <v>81.28</v>
      </c>
      <c r="N105">
        <v>99.45</v>
      </c>
      <c r="P105">
        <v>1</v>
      </c>
    </row>
    <row r="106" spans="1:16" x14ac:dyDescent="0.3">
      <c r="A106">
        <v>104</v>
      </c>
      <c r="B106" t="str">
        <f>HYPERLINK("https://imapinvasives.natureserve.org/imap/services/page/Presence/1159275.html", "View")</f>
        <v>View</v>
      </c>
      <c r="C106">
        <v>1159275</v>
      </c>
      <c r="D106">
        <v>1166357</v>
      </c>
      <c r="E106" t="str">
        <f>HYPERLINK("http://imap3images.s3-website-us-east-1.amazonaws.com/1166357/p/inat_photo_151510661.jpg", "View")</f>
        <v>View</v>
      </c>
      <c r="F106" t="s">
        <v>17</v>
      </c>
      <c r="G106" t="s">
        <v>18</v>
      </c>
      <c r="H106">
        <v>324726</v>
      </c>
      <c r="I106" t="str">
        <f t="shared" si="7"/>
        <v>View</v>
      </c>
      <c r="J106" t="s">
        <v>17</v>
      </c>
      <c r="K106" t="s">
        <v>21</v>
      </c>
      <c r="L106">
        <v>324726</v>
      </c>
      <c r="M106">
        <v>89.66</v>
      </c>
      <c r="N106">
        <v>56.26</v>
      </c>
      <c r="P106">
        <v>1</v>
      </c>
    </row>
    <row r="107" spans="1:16" x14ac:dyDescent="0.3">
      <c r="A107">
        <v>105</v>
      </c>
      <c r="B107" t="str">
        <f>HYPERLINK("https://imapinvasives.natureserve.org/imap/services/page/Presence/1068494.html", "View")</f>
        <v>View</v>
      </c>
      <c r="C107">
        <v>1068494</v>
      </c>
      <c r="D107">
        <v>1073321</v>
      </c>
      <c r="E107" t="str">
        <f>HYPERLINK("http://imap3images.s3-website-us-east-1.amazonaws.com/1073321/p/inat_photo_94143680.jpg", "View")</f>
        <v>View</v>
      </c>
      <c r="F107" t="s">
        <v>17</v>
      </c>
      <c r="G107" t="s">
        <v>18</v>
      </c>
      <c r="H107">
        <v>324726</v>
      </c>
      <c r="I107" t="str">
        <f t="shared" si="7"/>
        <v>View</v>
      </c>
      <c r="J107" t="s">
        <v>17</v>
      </c>
      <c r="K107" t="s">
        <v>21</v>
      </c>
      <c r="L107">
        <v>324726</v>
      </c>
      <c r="M107">
        <v>89.66</v>
      </c>
      <c r="N107">
        <v>99.88</v>
      </c>
      <c r="P107">
        <v>1</v>
      </c>
    </row>
    <row r="108" spans="1:16" x14ac:dyDescent="0.3">
      <c r="A108">
        <v>106</v>
      </c>
      <c r="B108" t="str">
        <f>HYPERLINK("https://imapinvasives.natureserve.org/imap/services/page/Presence/1355277.html", "View")</f>
        <v>View</v>
      </c>
      <c r="C108">
        <v>1355277</v>
      </c>
      <c r="D108">
        <v>1372909</v>
      </c>
      <c r="E108" t="str">
        <f>HYPERLINK("http://imap3images.s3-website-us-east-1.amazonaws.com/1372909/p/IMG_2081.jpeg", "View")</f>
        <v>View</v>
      </c>
      <c r="F108" t="s">
        <v>17</v>
      </c>
      <c r="G108" t="s">
        <v>18</v>
      </c>
      <c r="H108">
        <v>324726</v>
      </c>
      <c r="I108" t="str">
        <f t="shared" si="7"/>
        <v>View</v>
      </c>
      <c r="J108" t="s">
        <v>17</v>
      </c>
      <c r="K108" t="s">
        <v>21</v>
      </c>
      <c r="L108">
        <v>324726</v>
      </c>
      <c r="M108">
        <v>89.66</v>
      </c>
      <c r="N108">
        <v>99.39</v>
      </c>
      <c r="P108">
        <v>1</v>
      </c>
    </row>
    <row r="109" spans="1:16" x14ac:dyDescent="0.3">
      <c r="A109">
        <v>107</v>
      </c>
      <c r="B109" t="str">
        <f>HYPERLINK("https://imapinvasives.natureserve.org/imap/services/page/Presence/1248781.html", "View")</f>
        <v>View</v>
      </c>
      <c r="C109">
        <v>1248781</v>
      </c>
      <c r="D109">
        <v>1256924</v>
      </c>
      <c r="E109" t="str">
        <f>HYPERLINK("http://imap3images.s3-website-us-east-1.amazonaws.com/1256924/p/imap_app_photo_1641477410986.jpg", "View")</f>
        <v>View</v>
      </c>
      <c r="F109" t="s">
        <v>17</v>
      </c>
      <c r="G109" t="s">
        <v>18</v>
      </c>
      <c r="H109">
        <v>324726</v>
      </c>
      <c r="I109" t="str">
        <f t="shared" si="7"/>
        <v>View</v>
      </c>
      <c r="J109" t="s">
        <v>17</v>
      </c>
      <c r="K109" t="s">
        <v>21</v>
      </c>
      <c r="L109">
        <v>324726</v>
      </c>
      <c r="M109">
        <v>81.28</v>
      </c>
      <c r="N109">
        <v>99.88</v>
      </c>
      <c r="P109">
        <v>1</v>
      </c>
    </row>
    <row r="110" spans="1:16" x14ac:dyDescent="0.3">
      <c r="A110">
        <v>108</v>
      </c>
      <c r="B110" t="str">
        <f>HYPERLINK("https://imapinvasives.natureserve.org/imap/services/page/Presence/1164853.html", "View")</f>
        <v>View</v>
      </c>
      <c r="C110">
        <v>1164853</v>
      </c>
      <c r="D110">
        <v>1172104</v>
      </c>
      <c r="E110" t="str">
        <f>HYPERLINK("http://imap3images.s3-website-us-east-1.amazonaws.com/1172104/p/inat_photo_159412704.jpg", "View")</f>
        <v>View</v>
      </c>
      <c r="F110" t="s">
        <v>17</v>
      </c>
      <c r="G110" t="s">
        <v>18</v>
      </c>
      <c r="H110">
        <v>324726</v>
      </c>
      <c r="I110" t="str">
        <f t="shared" si="7"/>
        <v>View</v>
      </c>
      <c r="J110" t="s">
        <v>17</v>
      </c>
      <c r="K110" t="s">
        <v>21</v>
      </c>
      <c r="L110">
        <v>324726</v>
      </c>
      <c r="M110">
        <v>89.66</v>
      </c>
      <c r="N110">
        <v>99.95</v>
      </c>
      <c r="P110">
        <v>1</v>
      </c>
    </row>
    <row r="111" spans="1:16" x14ac:dyDescent="0.3">
      <c r="A111">
        <v>109</v>
      </c>
      <c r="B111" t="str">
        <f>HYPERLINK("https://imapinvasives.natureserve.org/imap/services/page/Presence/1160305.html", "View")</f>
        <v>View</v>
      </c>
      <c r="C111">
        <v>1160305</v>
      </c>
      <c r="D111">
        <v>1167416</v>
      </c>
      <c r="E111" t="str">
        <f>HYPERLINK("http://imap3images.s3-website-us-east-1.amazonaws.com/1167416/p/EB7E5656-126F-43CF-A804-380B8DC9B629.jpeg", "View")</f>
        <v>View</v>
      </c>
      <c r="F111" t="s">
        <v>17</v>
      </c>
      <c r="G111" t="s">
        <v>18</v>
      </c>
      <c r="H111">
        <v>324726</v>
      </c>
      <c r="I111" t="str">
        <f t="shared" si="7"/>
        <v>View</v>
      </c>
      <c r="J111" t="s">
        <v>17</v>
      </c>
      <c r="K111" t="s">
        <v>21</v>
      </c>
      <c r="L111">
        <v>324726</v>
      </c>
      <c r="M111">
        <v>81.28</v>
      </c>
      <c r="N111">
        <v>98.16</v>
      </c>
      <c r="P111">
        <v>1</v>
      </c>
    </row>
    <row r="112" spans="1:16" x14ac:dyDescent="0.3">
      <c r="A112">
        <v>110</v>
      </c>
      <c r="B112" t="str">
        <f>HYPERLINK("https://imapinvasives.natureserve.org/imap/services/page/Presence/1288327.html", "View")</f>
        <v>View</v>
      </c>
      <c r="C112">
        <v>1288327</v>
      </c>
      <c r="D112">
        <v>1298278</v>
      </c>
      <c r="E112" t="str">
        <f>HYPERLINK("http://imap3images.s3-website-us-east-1.amazonaws.com/1298278/p/imap_app_photo_1661121937575.jpg", "View")</f>
        <v>View</v>
      </c>
      <c r="F112" t="s">
        <v>17</v>
      </c>
      <c r="G112" t="s">
        <v>18</v>
      </c>
      <c r="H112">
        <v>324726</v>
      </c>
      <c r="I112" t="str">
        <f t="shared" si="7"/>
        <v>View</v>
      </c>
      <c r="J112" t="s">
        <v>17</v>
      </c>
      <c r="K112" t="s">
        <v>21</v>
      </c>
      <c r="L112">
        <v>324726</v>
      </c>
      <c r="M112">
        <v>81.28</v>
      </c>
      <c r="N112">
        <v>88.59</v>
      </c>
      <c r="P112">
        <v>1</v>
      </c>
    </row>
    <row r="113" spans="1:16" x14ac:dyDescent="0.3">
      <c r="A113">
        <v>111</v>
      </c>
      <c r="B113" t="str">
        <f>HYPERLINK("https://imapinvasives.natureserve.org/imap/services/page/Presence/1159640.html", "View")</f>
        <v>View</v>
      </c>
      <c r="C113">
        <v>1159640</v>
      </c>
      <c r="D113">
        <v>1166739</v>
      </c>
      <c r="E113" t="str">
        <f>HYPERLINK("http://imap3images.s3-website-us-east-1.amazonaws.com/1166739/p/inat_photo_151921942.jpg", "View")</f>
        <v>View</v>
      </c>
      <c r="F113" t="s">
        <v>17</v>
      </c>
      <c r="G113" t="s">
        <v>18</v>
      </c>
      <c r="H113">
        <v>324726</v>
      </c>
      <c r="I113" t="str">
        <f t="shared" si="7"/>
        <v>View</v>
      </c>
      <c r="J113" t="s">
        <v>17</v>
      </c>
      <c r="K113" t="s">
        <v>21</v>
      </c>
      <c r="L113">
        <v>324726</v>
      </c>
      <c r="M113">
        <v>81.28</v>
      </c>
      <c r="N113">
        <v>99.79</v>
      </c>
      <c r="P113">
        <v>1</v>
      </c>
    </row>
    <row r="114" spans="1:16" x14ac:dyDescent="0.3">
      <c r="A114">
        <v>112</v>
      </c>
      <c r="B114" t="str">
        <f>HYPERLINK("https://imapinvasives.natureserve.org/imap/services/page/Presence/1163811.html", "View")</f>
        <v>View</v>
      </c>
      <c r="C114">
        <v>1163811</v>
      </c>
      <c r="D114">
        <v>1171033</v>
      </c>
      <c r="E114" t="str">
        <f>HYPERLINK("http://imap3images.s3-website-us-east-1.amazonaws.com/1171033/p/inat_photo_157539809.jpg", "View")</f>
        <v>View</v>
      </c>
      <c r="F114" t="s">
        <v>17</v>
      </c>
      <c r="G114" t="s">
        <v>18</v>
      </c>
      <c r="H114">
        <v>324726</v>
      </c>
      <c r="I114" t="str">
        <f t="shared" si="7"/>
        <v>View</v>
      </c>
      <c r="J114" t="s">
        <v>17</v>
      </c>
      <c r="K114" t="s">
        <v>21</v>
      </c>
      <c r="L114">
        <v>324726</v>
      </c>
      <c r="M114">
        <v>81.28</v>
      </c>
      <c r="N114">
        <v>99.68</v>
      </c>
      <c r="P114">
        <v>1</v>
      </c>
    </row>
    <row r="115" spans="1:16" x14ac:dyDescent="0.3">
      <c r="A115">
        <v>113</v>
      </c>
      <c r="B115" t="str">
        <f>HYPERLINK("https://imapinvasives.natureserve.org/imap/services/page/Presence/1153639.html", "View")</f>
        <v>View</v>
      </c>
      <c r="C115">
        <v>1153639</v>
      </c>
      <c r="D115">
        <v>1160624</v>
      </c>
      <c r="E115" t="str">
        <f>HYPERLINK("http://imap3images.s3-website-us-east-1.amazonaws.com/1160624/p/inat_photo_147562234.jpg", "View")</f>
        <v>View</v>
      </c>
      <c r="F115" t="s">
        <v>17</v>
      </c>
      <c r="G115" t="s">
        <v>18</v>
      </c>
      <c r="H115">
        <v>324726</v>
      </c>
      <c r="I115" t="str">
        <f t="shared" si="7"/>
        <v>View</v>
      </c>
      <c r="J115" t="s">
        <v>17</v>
      </c>
      <c r="K115" t="s">
        <v>21</v>
      </c>
      <c r="L115">
        <v>324726</v>
      </c>
      <c r="M115">
        <v>81.28</v>
      </c>
      <c r="N115">
        <v>99.9</v>
      </c>
      <c r="P115">
        <v>1</v>
      </c>
    </row>
    <row r="116" spans="1:16" x14ac:dyDescent="0.3">
      <c r="A116">
        <v>114</v>
      </c>
      <c r="B116" t="str">
        <f>HYPERLINK("https://imapinvasives.natureserve.org/imap/services/page/Presence/1160158.html", "View")</f>
        <v>View</v>
      </c>
      <c r="C116">
        <v>1160158</v>
      </c>
      <c r="D116">
        <v>1167267</v>
      </c>
      <c r="E116" t="str">
        <f>HYPERLINK("http://imap3images.s3-website-us-east-1.amazonaws.com/1167267/p/inat_photo_153157142.jpg", "View")</f>
        <v>View</v>
      </c>
      <c r="F116" t="s">
        <v>17</v>
      </c>
      <c r="G116" t="s">
        <v>18</v>
      </c>
      <c r="H116">
        <v>324726</v>
      </c>
      <c r="I116" t="str">
        <f t="shared" si="7"/>
        <v>View</v>
      </c>
      <c r="J116" t="s">
        <v>17</v>
      </c>
      <c r="K116" t="s">
        <v>21</v>
      </c>
      <c r="L116">
        <v>324726</v>
      </c>
      <c r="M116">
        <v>89.66</v>
      </c>
      <c r="N116">
        <v>92.65</v>
      </c>
      <c r="P116">
        <v>1</v>
      </c>
    </row>
    <row r="117" spans="1:16" x14ac:dyDescent="0.3">
      <c r="A117">
        <v>115</v>
      </c>
      <c r="B117" t="str">
        <f>HYPERLINK("https://imapinvasives.natureserve.org/imap/services/page/Presence/1160791.html", "View")</f>
        <v>View</v>
      </c>
      <c r="C117">
        <v>1160791</v>
      </c>
      <c r="D117">
        <v>1167930</v>
      </c>
      <c r="E117" t="str">
        <f>HYPERLINK("http://imap3images.s3-website-us-east-1.amazonaws.com/1167930/p/inat_photo_154050816.jpg", "View")</f>
        <v>View</v>
      </c>
      <c r="F117" t="s">
        <v>17</v>
      </c>
      <c r="G117" t="s">
        <v>18</v>
      </c>
      <c r="H117">
        <v>324726</v>
      </c>
      <c r="I117" t="str">
        <f t="shared" si="7"/>
        <v>View</v>
      </c>
      <c r="J117" t="s">
        <v>17</v>
      </c>
      <c r="K117" t="s">
        <v>21</v>
      </c>
      <c r="L117">
        <v>324726</v>
      </c>
      <c r="M117">
        <v>89.66</v>
      </c>
      <c r="N117">
        <v>99.85</v>
      </c>
      <c r="P117">
        <v>1</v>
      </c>
    </row>
    <row r="118" spans="1:16" x14ac:dyDescent="0.3">
      <c r="A118">
        <v>116</v>
      </c>
      <c r="B118" t="str">
        <f>HYPERLINK("https://imapinvasives.natureserve.org/imap/services/page/Presence/1273362.html", "View")</f>
        <v>View</v>
      </c>
      <c r="C118">
        <v>1273362</v>
      </c>
      <c r="D118">
        <v>1282498</v>
      </c>
      <c r="E118" t="str">
        <f>HYPERLINK("http://imap3images.s3-website-us-east-1.amazonaws.com/1282498/p/inat_photo_201056170.jpg", "View")</f>
        <v>View</v>
      </c>
      <c r="F118" t="s">
        <v>17</v>
      </c>
      <c r="G118" t="s">
        <v>18</v>
      </c>
      <c r="H118">
        <v>324726</v>
      </c>
      <c r="I118" t="str">
        <f t="shared" si="7"/>
        <v>View</v>
      </c>
      <c r="J118" t="s">
        <v>17</v>
      </c>
      <c r="K118" t="s">
        <v>21</v>
      </c>
      <c r="L118">
        <v>324726</v>
      </c>
      <c r="M118">
        <v>81.28</v>
      </c>
      <c r="N118">
        <v>99.92</v>
      </c>
      <c r="P118">
        <v>1</v>
      </c>
    </row>
    <row r="119" spans="1:16" x14ac:dyDescent="0.3">
      <c r="A119">
        <v>117</v>
      </c>
      <c r="B119" t="str">
        <f>HYPERLINK("https://imapinvasives.natureserve.org/imap/services/page/Presence/1160796.html", "View")</f>
        <v>View</v>
      </c>
      <c r="C119">
        <v>1160796</v>
      </c>
      <c r="D119">
        <v>1167935</v>
      </c>
      <c r="E119" t="str">
        <f>HYPERLINK("http://imap3images.s3-website-us-east-1.amazonaws.com/1167935/p/inat_photo_154144256.jpg", "View")</f>
        <v>View</v>
      </c>
      <c r="F119" t="s">
        <v>17</v>
      </c>
      <c r="G119" t="s">
        <v>18</v>
      </c>
      <c r="H119">
        <v>324726</v>
      </c>
      <c r="I119" t="str">
        <f t="shared" si="7"/>
        <v>View</v>
      </c>
      <c r="J119" t="s">
        <v>17</v>
      </c>
      <c r="K119" t="s">
        <v>21</v>
      </c>
      <c r="L119">
        <v>324726</v>
      </c>
      <c r="M119">
        <v>81.28</v>
      </c>
      <c r="N119">
        <v>99.94</v>
      </c>
      <c r="P119">
        <v>1</v>
      </c>
    </row>
    <row r="120" spans="1:16" x14ac:dyDescent="0.3">
      <c r="A120">
        <v>118</v>
      </c>
      <c r="B120" t="str">
        <f>HYPERLINK("https://imapinvasives.natureserve.org/imap/services/page/Presence/1163350.html", "View")</f>
        <v>View</v>
      </c>
      <c r="C120">
        <v>1163350</v>
      </c>
      <c r="D120">
        <v>1170538</v>
      </c>
      <c r="E120" t="str">
        <f>HYPERLINK("http://imap3images.s3-website-us-east-1.amazonaws.com/1170538/p/inat_photo_156918556.jpg", "View")</f>
        <v>View</v>
      </c>
      <c r="F120" t="s">
        <v>17</v>
      </c>
      <c r="G120" t="s">
        <v>18</v>
      </c>
      <c r="H120">
        <v>324726</v>
      </c>
      <c r="I120" t="str">
        <f>HYPERLINK("https://www.inaturalist.org/taxa/343235-Rugosana-querci", "View")</f>
        <v>View</v>
      </c>
      <c r="J120" t="s">
        <v>41</v>
      </c>
      <c r="K120" t="s">
        <v>31</v>
      </c>
      <c r="L120">
        <v>343235</v>
      </c>
      <c r="M120">
        <v>10.4</v>
      </c>
      <c r="N120">
        <v>9.7799999999999994</v>
      </c>
      <c r="P120">
        <v>0</v>
      </c>
    </row>
    <row r="121" spans="1:16" x14ac:dyDescent="0.3">
      <c r="A121">
        <v>119</v>
      </c>
      <c r="B121" t="str">
        <f>HYPERLINK("https://imapinvasives.natureserve.org/imap/services/page/Presence/1162982.html", "View")</f>
        <v>View</v>
      </c>
      <c r="C121">
        <v>1162982</v>
      </c>
      <c r="D121">
        <v>1170158</v>
      </c>
      <c r="E121" t="str">
        <f>HYPERLINK("http://imap3images.s3-website-us-east-1.amazonaws.com/1170158/p/inat_photo_155979291.jpg", "View")</f>
        <v>View</v>
      </c>
      <c r="F121" t="s">
        <v>17</v>
      </c>
      <c r="G121" t="s">
        <v>18</v>
      </c>
      <c r="H121">
        <v>324726</v>
      </c>
      <c r="I121" t="str">
        <f>HYPERLINK("https://www.inaturalist.org/taxa/324726-Lycorma-delicatula", "View")</f>
        <v>View</v>
      </c>
      <c r="J121" t="s">
        <v>17</v>
      </c>
      <c r="K121" t="s">
        <v>21</v>
      </c>
      <c r="L121">
        <v>324726</v>
      </c>
      <c r="M121">
        <v>89.66</v>
      </c>
      <c r="N121">
        <v>99.87</v>
      </c>
      <c r="P121">
        <v>1</v>
      </c>
    </row>
    <row r="122" spans="1:16" x14ac:dyDescent="0.3">
      <c r="A122">
        <v>120</v>
      </c>
      <c r="B122" t="str">
        <f>HYPERLINK("https://imapinvasives.natureserve.org/imap/services/page/Presence/1165062.html", "View")</f>
        <v>View</v>
      </c>
      <c r="C122">
        <v>1165062</v>
      </c>
      <c r="D122">
        <v>1172321</v>
      </c>
      <c r="E122" t="str">
        <f>HYPERLINK("http://imap3images.s3-website-us-east-1.amazonaws.com/1172321/p/inat_photo_159906097.jpg", "View")</f>
        <v>View</v>
      </c>
      <c r="F122" t="s">
        <v>17</v>
      </c>
      <c r="G122" t="s">
        <v>18</v>
      </c>
      <c r="H122">
        <v>324726</v>
      </c>
      <c r="I122" t="str">
        <f>HYPERLINK("https://www.inaturalist.org/taxa/324726-Lycorma-delicatula", "View")</f>
        <v>View</v>
      </c>
      <c r="J122" t="s">
        <v>17</v>
      </c>
      <c r="K122" t="s">
        <v>21</v>
      </c>
      <c r="L122">
        <v>324726</v>
      </c>
      <c r="M122">
        <v>81.28</v>
      </c>
      <c r="N122">
        <v>99.96</v>
      </c>
      <c r="P122">
        <v>1</v>
      </c>
    </row>
    <row r="123" spans="1:16" x14ac:dyDescent="0.3">
      <c r="A123">
        <v>121</v>
      </c>
      <c r="B123" t="str">
        <f>HYPERLINK("https://imapinvasives.natureserve.org/imap/services/page/Presence/1163027.html", "View")</f>
        <v>View</v>
      </c>
      <c r="C123">
        <v>1163027</v>
      </c>
      <c r="D123">
        <v>1170206</v>
      </c>
      <c r="E123" t="str">
        <f>HYPERLINK("http://imap3images.s3-website-us-east-1.amazonaws.com/1170206/p/inat_photo_156148048.jpg", "View")</f>
        <v>View</v>
      </c>
      <c r="F123" t="s">
        <v>17</v>
      </c>
      <c r="G123" t="s">
        <v>18</v>
      </c>
      <c r="H123">
        <v>324726</v>
      </c>
      <c r="I123" t="str">
        <f>HYPERLINK("https://www.inaturalist.org/taxa/324726-Lycorma-delicatula", "View")</f>
        <v>View</v>
      </c>
      <c r="J123" t="s">
        <v>17</v>
      </c>
      <c r="K123" t="s">
        <v>21</v>
      </c>
      <c r="L123">
        <v>324726</v>
      </c>
      <c r="M123">
        <v>81.28</v>
      </c>
      <c r="N123">
        <v>99.72</v>
      </c>
      <c r="P123">
        <v>1</v>
      </c>
    </row>
    <row r="124" spans="1:16" x14ac:dyDescent="0.3">
      <c r="A124">
        <v>122</v>
      </c>
      <c r="B124" t="str">
        <f>HYPERLINK("https://imapinvasives.natureserve.org/imap/services/page/Presence/1160778.html", "View")</f>
        <v>View</v>
      </c>
      <c r="C124">
        <v>1160778</v>
      </c>
      <c r="D124">
        <v>1167917</v>
      </c>
      <c r="E124" t="str">
        <f>HYPERLINK("http://imap3images.s3-website-us-east-1.amazonaws.com/1167917/p/inat_photo_153940906.jpg", "View")</f>
        <v>View</v>
      </c>
      <c r="F124" t="s">
        <v>17</v>
      </c>
      <c r="G124" t="s">
        <v>18</v>
      </c>
      <c r="H124">
        <v>324726</v>
      </c>
      <c r="I124" t="str">
        <f>HYPERLINK("https://www.inaturalist.org/taxa/324726-Lycorma-delicatula", "View")</f>
        <v>View</v>
      </c>
      <c r="J124" t="s">
        <v>17</v>
      </c>
      <c r="K124" t="s">
        <v>21</v>
      </c>
      <c r="L124">
        <v>324726</v>
      </c>
      <c r="M124">
        <v>89.66</v>
      </c>
      <c r="N124">
        <v>98.97</v>
      </c>
      <c r="P124">
        <v>1</v>
      </c>
    </row>
    <row r="125" spans="1:16" x14ac:dyDescent="0.3">
      <c r="A125">
        <v>123</v>
      </c>
      <c r="B125" t="str">
        <f>HYPERLINK("https://imapinvasives.natureserve.org/imap/services/page/Presence/1303355.html", "View")</f>
        <v>View</v>
      </c>
      <c r="C125">
        <v>1303355</v>
      </c>
      <c r="D125">
        <v>1313777</v>
      </c>
      <c r="E125" t="str">
        <f>HYPERLINK("http://imap3images.s3-website-us-east-1.amazonaws.com/1313777/p/SLF_Chester_10_28_2022.jpg", "View")</f>
        <v>View</v>
      </c>
      <c r="F125" t="s">
        <v>17</v>
      </c>
      <c r="G125" t="s">
        <v>18</v>
      </c>
      <c r="H125">
        <v>324726</v>
      </c>
      <c r="I125" t="str">
        <f>HYPERLINK("https://www.inaturalist.org/taxa/324726-Lycorma-delicatula", "View")</f>
        <v>View</v>
      </c>
      <c r="J125" t="s">
        <v>17</v>
      </c>
      <c r="K125" t="s">
        <v>21</v>
      </c>
      <c r="L125">
        <v>324726</v>
      </c>
      <c r="M125">
        <v>61.19</v>
      </c>
      <c r="N125">
        <v>98.98</v>
      </c>
      <c r="P125">
        <v>1</v>
      </c>
    </row>
    <row r="126" spans="1:16" x14ac:dyDescent="0.3">
      <c r="A126">
        <v>124</v>
      </c>
      <c r="B126" t="str">
        <f>HYPERLINK("https://imapinvasives.natureserve.org/imap/services/page/Presence/1180275.html", "View")</f>
        <v>View</v>
      </c>
      <c r="C126">
        <v>1180275</v>
      </c>
      <c r="D126">
        <v>1188137</v>
      </c>
      <c r="E126" t="str">
        <f>HYPERLINK("http://imap3images.s3-website-us-east-1.amazonaws.com/1188137/p/imap_app_photo_1636601164787.jpg", "View")</f>
        <v>View</v>
      </c>
      <c r="F126" t="s">
        <v>17</v>
      </c>
      <c r="G126" t="s">
        <v>18</v>
      </c>
      <c r="H126">
        <v>324726</v>
      </c>
      <c r="I126" t="str">
        <f>HYPERLINK("https://www.inaturalist.org/taxa/143660-Anasa-tristis", "View")</f>
        <v>View</v>
      </c>
      <c r="J126" t="s">
        <v>42</v>
      </c>
      <c r="K126" t="s">
        <v>43</v>
      </c>
      <c r="L126">
        <v>143660</v>
      </c>
      <c r="M126">
        <v>13.28</v>
      </c>
      <c r="N126">
        <v>67.489999999999995</v>
      </c>
      <c r="P126">
        <v>0</v>
      </c>
    </row>
    <row r="127" spans="1:16" x14ac:dyDescent="0.3">
      <c r="A127">
        <v>125</v>
      </c>
      <c r="B127" t="str">
        <f>HYPERLINK("https://imapinvasives.natureserve.org/imap/services/page/Presence/1416826.html", "View")</f>
        <v>View</v>
      </c>
      <c r="C127">
        <v>1416826</v>
      </c>
      <c r="D127">
        <v>1430365</v>
      </c>
      <c r="E127" t="str">
        <f>HYPERLINK("http://imap3images.s3-website-us-east-1.amazonaws.com/1430365/p/imap_app_photo_1720399771979.jpg", "View")</f>
        <v>View</v>
      </c>
      <c r="F127" t="s">
        <v>17</v>
      </c>
      <c r="G127" t="s">
        <v>18</v>
      </c>
      <c r="H127">
        <v>324726</v>
      </c>
      <c r="I127" t="str">
        <f t="shared" ref="I127:I144" si="8">HYPERLINK("https://www.inaturalist.org/taxa/324726-Lycorma-delicatula", "View")</f>
        <v>View</v>
      </c>
      <c r="J127" t="s">
        <v>17</v>
      </c>
      <c r="K127" t="s">
        <v>21</v>
      </c>
      <c r="L127">
        <v>324726</v>
      </c>
      <c r="M127">
        <v>57.71</v>
      </c>
      <c r="N127">
        <v>99.89</v>
      </c>
      <c r="P127">
        <v>1</v>
      </c>
    </row>
    <row r="128" spans="1:16" x14ac:dyDescent="0.3">
      <c r="A128">
        <v>126</v>
      </c>
      <c r="B128" t="str">
        <f>HYPERLINK("https://imapinvasives.natureserve.org/imap/services/page/Presence/1441529.html", "View")</f>
        <v>View</v>
      </c>
      <c r="C128">
        <v>1441529</v>
      </c>
      <c r="D128">
        <v>1455988</v>
      </c>
      <c r="E128" t="str">
        <f>HYPERLINK("http://imap3images.s3-website-us-east-1.amazonaws.com/1455988/p/imap_app_photo_1724253246155.jpg", "View")</f>
        <v>View</v>
      </c>
      <c r="F128" t="s">
        <v>17</v>
      </c>
      <c r="G128" t="s">
        <v>18</v>
      </c>
      <c r="H128">
        <v>324726</v>
      </c>
      <c r="I128" t="str">
        <f t="shared" si="8"/>
        <v>View</v>
      </c>
      <c r="J128" t="s">
        <v>17</v>
      </c>
      <c r="K128" t="s">
        <v>21</v>
      </c>
      <c r="L128">
        <v>324726</v>
      </c>
      <c r="M128">
        <v>61.19</v>
      </c>
      <c r="N128">
        <v>99.82</v>
      </c>
      <c r="P128">
        <v>1</v>
      </c>
    </row>
    <row r="129" spans="1:16" x14ac:dyDescent="0.3">
      <c r="A129">
        <v>127</v>
      </c>
      <c r="B129" t="str">
        <f>HYPERLINK("https://imapinvasives.natureserve.org/imap/services/page/Presence/1416979.html", "View")</f>
        <v>View</v>
      </c>
      <c r="C129">
        <v>1416979</v>
      </c>
      <c r="D129">
        <v>1430626</v>
      </c>
      <c r="E129" t="str">
        <f>HYPERLINK("http://imap3images.s3-website-us-east-1.amazonaws.com/1430626/p/inat_photo_400323682.jpg", "View")</f>
        <v>View</v>
      </c>
      <c r="F129" t="s">
        <v>17</v>
      </c>
      <c r="G129" t="s">
        <v>18</v>
      </c>
      <c r="H129">
        <v>324726</v>
      </c>
      <c r="I129" t="str">
        <f t="shared" si="8"/>
        <v>View</v>
      </c>
      <c r="J129" t="s">
        <v>17</v>
      </c>
      <c r="K129" t="s">
        <v>21</v>
      </c>
      <c r="L129">
        <v>324726</v>
      </c>
      <c r="M129">
        <v>61.19</v>
      </c>
      <c r="N129">
        <v>99.9</v>
      </c>
      <c r="P129">
        <v>1</v>
      </c>
    </row>
    <row r="130" spans="1:16" x14ac:dyDescent="0.3">
      <c r="A130">
        <v>128</v>
      </c>
      <c r="B130" t="str">
        <f>HYPERLINK("https://imapinvasives.natureserve.org/imap/services/page/Presence/1180273.html", "View")</f>
        <v>View</v>
      </c>
      <c r="C130">
        <v>1180273</v>
      </c>
      <c r="D130">
        <v>1188135</v>
      </c>
      <c r="E130" t="str">
        <f>HYPERLINK("http://imap3images.s3-website-us-east-1.amazonaws.com/1188135/p/imap_app_photo_1636601148890.jpg", "View")</f>
        <v>View</v>
      </c>
      <c r="F130" t="s">
        <v>17</v>
      </c>
      <c r="G130" t="s">
        <v>18</v>
      </c>
      <c r="H130">
        <v>324726</v>
      </c>
      <c r="I130" t="str">
        <f t="shared" si="8"/>
        <v>View</v>
      </c>
      <c r="J130" t="s">
        <v>17</v>
      </c>
      <c r="K130" t="s">
        <v>21</v>
      </c>
      <c r="L130">
        <v>324726</v>
      </c>
      <c r="M130">
        <v>61.19</v>
      </c>
      <c r="N130">
        <v>98.84</v>
      </c>
      <c r="P130">
        <v>1</v>
      </c>
    </row>
    <row r="131" spans="1:16" x14ac:dyDescent="0.3">
      <c r="A131">
        <v>129</v>
      </c>
      <c r="B131" t="str">
        <f>HYPERLINK("https://imapinvasives.natureserve.org/imap/services/page/Presence/1163896.html", "View")</f>
        <v>View</v>
      </c>
      <c r="C131">
        <v>1163896</v>
      </c>
      <c r="D131">
        <v>1171120</v>
      </c>
      <c r="E131" t="str">
        <f>HYPERLINK("http://imap3images.s3-website-us-east-1.amazonaws.com/1171120/p/GreenwoodLakeTrapCatch-2021-09-15.jpg", "View")</f>
        <v>View</v>
      </c>
      <c r="F131" t="s">
        <v>17</v>
      </c>
      <c r="G131" t="s">
        <v>18</v>
      </c>
      <c r="H131">
        <v>324726</v>
      </c>
      <c r="I131" t="str">
        <f t="shared" si="8"/>
        <v>View</v>
      </c>
      <c r="J131" t="s">
        <v>17</v>
      </c>
      <c r="K131" t="s">
        <v>21</v>
      </c>
      <c r="L131">
        <v>324726</v>
      </c>
      <c r="M131">
        <v>61.19</v>
      </c>
      <c r="N131">
        <v>99.99</v>
      </c>
      <c r="P131">
        <v>1</v>
      </c>
    </row>
    <row r="132" spans="1:16" x14ac:dyDescent="0.3">
      <c r="A132">
        <v>130</v>
      </c>
      <c r="B132" t="str">
        <f>HYPERLINK("https://imapinvasives.natureserve.org/imap/services/page/Presence/1343573.html", "View")</f>
        <v>View</v>
      </c>
      <c r="C132">
        <v>1343573</v>
      </c>
      <c r="D132">
        <v>1359162</v>
      </c>
      <c r="E132" t="str">
        <f>HYPERLINK("http://imap3images.s3-website-us-east-1.amazonaws.com/1359162/p/inat_photo_304870843.jpg", "View")</f>
        <v>View</v>
      </c>
      <c r="F132" t="s">
        <v>17</v>
      </c>
      <c r="G132" t="s">
        <v>18</v>
      </c>
      <c r="H132">
        <v>324726</v>
      </c>
      <c r="I132" t="str">
        <f t="shared" si="8"/>
        <v>View</v>
      </c>
      <c r="J132" t="s">
        <v>17</v>
      </c>
      <c r="K132" t="s">
        <v>21</v>
      </c>
      <c r="L132">
        <v>324726</v>
      </c>
      <c r="M132">
        <v>61.19</v>
      </c>
      <c r="N132">
        <v>99.78</v>
      </c>
      <c r="P132">
        <v>1</v>
      </c>
    </row>
    <row r="133" spans="1:16" x14ac:dyDescent="0.3">
      <c r="A133">
        <v>131</v>
      </c>
      <c r="B133" t="str">
        <f>HYPERLINK("https://imapinvasives.natureserve.org/imap/services/page/Presence/1386155.html", "View")</f>
        <v>View</v>
      </c>
      <c r="C133">
        <v>1386155</v>
      </c>
      <c r="D133">
        <v>1404254</v>
      </c>
      <c r="E133" t="str">
        <f>HYPERLINK("http://imap3images.s3-website-us-east-1.amazonaws.com/1404254/p/imap_app_photo_1707763352601.jpg", "View")</f>
        <v>View</v>
      </c>
      <c r="F133" t="s">
        <v>17</v>
      </c>
      <c r="G133" t="s">
        <v>18</v>
      </c>
      <c r="H133">
        <v>324726</v>
      </c>
      <c r="I133" t="str">
        <f t="shared" si="8"/>
        <v>View</v>
      </c>
      <c r="J133" t="s">
        <v>17</v>
      </c>
      <c r="K133" t="s">
        <v>21</v>
      </c>
      <c r="L133">
        <v>324726</v>
      </c>
      <c r="M133">
        <v>57.71</v>
      </c>
      <c r="N133">
        <v>99.92</v>
      </c>
      <c r="P133">
        <v>1</v>
      </c>
    </row>
    <row r="134" spans="1:16" x14ac:dyDescent="0.3">
      <c r="A134">
        <v>132</v>
      </c>
      <c r="B134" t="str">
        <f>HYPERLINK("https://imapinvasives.natureserve.org/imap/services/page/Presence/1345665.html", "View")</f>
        <v>View</v>
      </c>
      <c r="C134">
        <v>1345665</v>
      </c>
      <c r="D134">
        <v>1361902</v>
      </c>
      <c r="E134" t="str">
        <f>HYPERLINK("http://imap3images.s3-website-us-east-1.amazonaws.com/1361902/p/inat_photo_306902859.jpg", "View")</f>
        <v>View</v>
      </c>
      <c r="F134" t="s">
        <v>17</v>
      </c>
      <c r="G134" t="s">
        <v>18</v>
      </c>
      <c r="H134">
        <v>324726</v>
      </c>
      <c r="I134" t="str">
        <f t="shared" si="8"/>
        <v>View</v>
      </c>
      <c r="J134" t="s">
        <v>17</v>
      </c>
      <c r="K134" t="s">
        <v>21</v>
      </c>
      <c r="L134">
        <v>324726</v>
      </c>
      <c r="M134">
        <v>61.19</v>
      </c>
      <c r="N134">
        <v>99.71</v>
      </c>
      <c r="P134">
        <v>1</v>
      </c>
    </row>
    <row r="135" spans="1:16" x14ac:dyDescent="0.3">
      <c r="A135">
        <v>133</v>
      </c>
      <c r="B135" t="str">
        <f>HYPERLINK("https://imapinvasives.natureserve.org/imap/services/page/Presence/1355285.html", "View")</f>
        <v>View</v>
      </c>
      <c r="C135">
        <v>1355285</v>
      </c>
      <c r="D135">
        <v>1372917</v>
      </c>
      <c r="E135" t="str">
        <f>HYPERLINK("http://imap3images.s3-website-us-east-1.amazonaws.com/1372917/p/IMG_3421.jpeg", "View")</f>
        <v>View</v>
      </c>
      <c r="F135" t="s">
        <v>17</v>
      </c>
      <c r="G135" t="s">
        <v>18</v>
      </c>
      <c r="H135">
        <v>324726</v>
      </c>
      <c r="I135" t="str">
        <f t="shared" si="8"/>
        <v>View</v>
      </c>
      <c r="J135" t="s">
        <v>17</v>
      </c>
      <c r="K135" t="s">
        <v>21</v>
      </c>
      <c r="L135">
        <v>324726</v>
      </c>
      <c r="M135">
        <v>57.71</v>
      </c>
      <c r="N135">
        <v>99.84</v>
      </c>
      <c r="P135">
        <v>1</v>
      </c>
    </row>
    <row r="136" spans="1:16" x14ac:dyDescent="0.3">
      <c r="A136">
        <v>134</v>
      </c>
      <c r="B136" t="str">
        <f>HYPERLINK("https://imapinvasives.natureserve.org/imap/services/page/Presence/1302471.html", "View")</f>
        <v>View</v>
      </c>
      <c r="C136">
        <v>1302471</v>
      </c>
      <c r="D136">
        <v>1312876</v>
      </c>
      <c r="E136" t="str">
        <f>HYPERLINK("http://imap3images.s3-website-us-east-1.amazonaws.com/1312876/p/DSCN9307.JPG", "View")</f>
        <v>View</v>
      </c>
      <c r="F136" t="s">
        <v>17</v>
      </c>
      <c r="G136" t="s">
        <v>18</v>
      </c>
      <c r="H136">
        <v>324726</v>
      </c>
      <c r="I136" t="str">
        <f t="shared" si="8"/>
        <v>View</v>
      </c>
      <c r="J136" t="s">
        <v>17</v>
      </c>
      <c r="K136" t="s">
        <v>21</v>
      </c>
      <c r="L136">
        <v>324726</v>
      </c>
      <c r="M136">
        <v>61.19</v>
      </c>
      <c r="N136">
        <v>99.63</v>
      </c>
      <c r="P136">
        <v>1</v>
      </c>
    </row>
    <row r="137" spans="1:16" x14ac:dyDescent="0.3">
      <c r="A137">
        <v>135</v>
      </c>
      <c r="B137" t="str">
        <f>HYPERLINK("https://imapinvasives.natureserve.org/imap/services/page/Presence/1309161.html", "View")</f>
        <v>View</v>
      </c>
      <c r="C137">
        <v>1309161</v>
      </c>
      <c r="D137">
        <v>1319694</v>
      </c>
      <c r="E137" t="str">
        <f>HYPERLINK("http://imap3images.s3-website-us-east-1.amazonaws.com/1319694/p/imap_app_photo_1670272207074.jpg", "View")</f>
        <v>View</v>
      </c>
      <c r="F137" t="s">
        <v>17</v>
      </c>
      <c r="G137" t="s">
        <v>18</v>
      </c>
      <c r="H137">
        <v>324726</v>
      </c>
      <c r="I137" t="str">
        <f t="shared" si="8"/>
        <v>View</v>
      </c>
      <c r="J137" t="s">
        <v>17</v>
      </c>
      <c r="K137" t="s">
        <v>21</v>
      </c>
      <c r="L137">
        <v>324726</v>
      </c>
      <c r="M137">
        <v>64.569999999999993</v>
      </c>
      <c r="N137">
        <v>87.21</v>
      </c>
      <c r="P137">
        <v>1</v>
      </c>
    </row>
    <row r="138" spans="1:16" x14ac:dyDescent="0.3">
      <c r="A138">
        <v>136</v>
      </c>
      <c r="B138" t="str">
        <f>HYPERLINK("https://imapinvasives.natureserve.org/imap/services/page/Presence/1165596.html", "View")</f>
        <v>View</v>
      </c>
      <c r="C138">
        <v>1165596</v>
      </c>
      <c r="D138">
        <v>1172861</v>
      </c>
      <c r="E138" t="str">
        <f>HYPERLINK("http://imap3images.s3-website-us-east-1.amazonaws.com/1172861/p/imap_app_photo_1632942344140.jpg", "View")</f>
        <v>View</v>
      </c>
      <c r="F138" t="s">
        <v>17</v>
      </c>
      <c r="G138" t="s">
        <v>18</v>
      </c>
      <c r="H138">
        <v>324726</v>
      </c>
      <c r="I138" t="str">
        <f t="shared" si="8"/>
        <v>View</v>
      </c>
      <c r="J138" t="s">
        <v>17</v>
      </c>
      <c r="K138" t="s">
        <v>21</v>
      </c>
      <c r="L138">
        <v>324726</v>
      </c>
      <c r="M138">
        <v>61.19</v>
      </c>
      <c r="N138">
        <v>99.98</v>
      </c>
      <c r="P138">
        <v>1</v>
      </c>
    </row>
    <row r="139" spans="1:16" x14ac:dyDescent="0.3">
      <c r="A139">
        <v>137</v>
      </c>
      <c r="B139" t="str">
        <f>HYPERLINK("https://imapinvasives.natureserve.org/imap/services/page/Presence/1441419.html", "View")</f>
        <v>View</v>
      </c>
      <c r="C139">
        <v>1441419</v>
      </c>
      <c r="D139">
        <v>1455877</v>
      </c>
      <c r="E139" t="str">
        <f>HYPERLINK("http://imap3images.s3-website-us-east-1.amazonaws.com/1455877/p/imap_app_photo_1724018742290.jpg", "View")</f>
        <v>View</v>
      </c>
      <c r="F139" t="s">
        <v>17</v>
      </c>
      <c r="G139" t="s">
        <v>18</v>
      </c>
      <c r="H139">
        <v>324726</v>
      </c>
      <c r="I139" t="str">
        <f t="shared" si="8"/>
        <v>View</v>
      </c>
      <c r="J139" t="s">
        <v>17</v>
      </c>
      <c r="K139" t="s">
        <v>21</v>
      </c>
      <c r="L139">
        <v>324726</v>
      </c>
      <c r="M139">
        <v>57.71</v>
      </c>
      <c r="N139">
        <v>99.43</v>
      </c>
      <c r="P139">
        <v>1</v>
      </c>
    </row>
    <row r="140" spans="1:16" x14ac:dyDescent="0.3">
      <c r="A140">
        <v>138</v>
      </c>
      <c r="B140" t="str">
        <f>HYPERLINK("https://imapinvasives.natureserve.org/imap/services/page/Presence/1283949.html", "View")</f>
        <v>View</v>
      </c>
      <c r="C140">
        <v>1283949</v>
      </c>
      <c r="D140">
        <v>1293520</v>
      </c>
      <c r="E140" t="str">
        <f>HYPERLINK("http://imap3images.s3-website-us-east-1.amazonaws.com/1293520/p/imap_app_photo_1658872755253.jpg", "View")</f>
        <v>View</v>
      </c>
      <c r="F140" t="s">
        <v>17</v>
      </c>
      <c r="G140" t="s">
        <v>18</v>
      </c>
      <c r="H140">
        <v>324726</v>
      </c>
      <c r="I140" t="str">
        <f t="shared" si="8"/>
        <v>View</v>
      </c>
      <c r="J140" t="s">
        <v>17</v>
      </c>
      <c r="K140" t="s">
        <v>21</v>
      </c>
      <c r="L140">
        <v>324726</v>
      </c>
      <c r="M140">
        <v>61.19</v>
      </c>
      <c r="N140">
        <v>99.96</v>
      </c>
      <c r="P140">
        <v>1</v>
      </c>
    </row>
    <row r="141" spans="1:16" x14ac:dyDescent="0.3">
      <c r="A141">
        <v>139</v>
      </c>
      <c r="B141" t="str">
        <f>HYPERLINK("https://imapinvasives.natureserve.org/imap/services/page/Presence/1348528.html", "View")</f>
        <v>View</v>
      </c>
      <c r="C141">
        <v>1348528</v>
      </c>
      <c r="D141">
        <v>1365257</v>
      </c>
      <c r="E141" t="str">
        <f>HYPERLINK("http://imap3images.s3-website-us-east-1.amazonaws.com/1365257/p/imap_app_photo_1692194126580.jpg", "View")</f>
        <v>View</v>
      </c>
      <c r="F141" t="s">
        <v>17</v>
      </c>
      <c r="G141" t="s">
        <v>18</v>
      </c>
      <c r="H141">
        <v>324726</v>
      </c>
      <c r="I141" t="str">
        <f t="shared" si="8"/>
        <v>View</v>
      </c>
      <c r="J141" t="s">
        <v>17</v>
      </c>
      <c r="K141" t="s">
        <v>21</v>
      </c>
      <c r="L141">
        <v>324726</v>
      </c>
      <c r="M141">
        <v>57.71</v>
      </c>
      <c r="N141">
        <v>99.86</v>
      </c>
      <c r="P141">
        <v>1</v>
      </c>
    </row>
    <row r="142" spans="1:16" x14ac:dyDescent="0.3">
      <c r="A142">
        <v>140</v>
      </c>
      <c r="B142" t="str">
        <f>HYPERLINK("https://imapinvasives.natureserve.org/imap/services/page/Presence/1355165.html", "View")</f>
        <v>View</v>
      </c>
      <c r="C142">
        <v>1355165</v>
      </c>
      <c r="D142">
        <v>1372797</v>
      </c>
      <c r="E142" t="str">
        <f>HYPERLINK("http://imap3images.s3-website-us-east-1.amazonaws.com/1372797/p/IMG_3620.jpeg", "View")</f>
        <v>View</v>
      </c>
      <c r="F142" t="s">
        <v>17</v>
      </c>
      <c r="G142" t="s">
        <v>18</v>
      </c>
      <c r="H142">
        <v>324726</v>
      </c>
      <c r="I142" t="str">
        <f t="shared" si="8"/>
        <v>View</v>
      </c>
      <c r="J142" t="s">
        <v>17</v>
      </c>
      <c r="K142" t="s">
        <v>21</v>
      </c>
      <c r="L142">
        <v>324726</v>
      </c>
      <c r="M142">
        <v>61.19</v>
      </c>
      <c r="N142">
        <v>99.98</v>
      </c>
      <c r="P142">
        <v>1</v>
      </c>
    </row>
    <row r="143" spans="1:16" x14ac:dyDescent="0.3">
      <c r="A143">
        <v>141</v>
      </c>
      <c r="B143" t="str">
        <f>HYPERLINK("https://imapinvasives.natureserve.org/imap/services/page/Presence/1438701.html", "View")</f>
        <v>View</v>
      </c>
      <c r="C143">
        <v>1438701</v>
      </c>
      <c r="D143">
        <v>1452969</v>
      </c>
      <c r="E143" t="str">
        <f>HYPERLINK("http://imap3images.s3-website-us-east-1.amazonaws.com/1452969/p/imap_app_photo_1722789925159.jpg", "View")</f>
        <v>View</v>
      </c>
      <c r="F143" t="s">
        <v>17</v>
      </c>
      <c r="G143" t="s">
        <v>18</v>
      </c>
      <c r="H143">
        <v>324726</v>
      </c>
      <c r="I143" t="str">
        <f t="shared" si="8"/>
        <v>View</v>
      </c>
      <c r="J143" t="s">
        <v>17</v>
      </c>
      <c r="K143" t="s">
        <v>21</v>
      </c>
      <c r="L143">
        <v>324726</v>
      </c>
      <c r="M143">
        <v>57.71</v>
      </c>
      <c r="N143">
        <v>99.51</v>
      </c>
      <c r="P143">
        <v>1</v>
      </c>
    </row>
    <row r="144" spans="1:16" x14ac:dyDescent="0.3">
      <c r="A144">
        <v>142</v>
      </c>
      <c r="B144" t="str">
        <f>HYPERLINK("https://imapinvasives.natureserve.org/imap/services/page/Presence/1165732.html", "View")</f>
        <v>View</v>
      </c>
      <c r="C144">
        <v>1165732</v>
      </c>
      <c r="D144">
        <v>1173001</v>
      </c>
      <c r="E144" t="str">
        <f>HYPERLINK("http://imap3images.s3-website-us-east-1.amazonaws.com/1173001/p/imap_app_photo_1633038335983.jpg", "View")</f>
        <v>View</v>
      </c>
      <c r="F144" t="s">
        <v>17</v>
      </c>
      <c r="G144" t="s">
        <v>18</v>
      </c>
      <c r="H144">
        <v>324726</v>
      </c>
      <c r="I144" t="str">
        <f t="shared" si="8"/>
        <v>View</v>
      </c>
      <c r="J144" t="s">
        <v>17</v>
      </c>
      <c r="K144" t="s">
        <v>21</v>
      </c>
      <c r="L144">
        <v>324726</v>
      </c>
      <c r="M144">
        <v>61.19</v>
      </c>
      <c r="N144">
        <v>94.4</v>
      </c>
      <c r="P144">
        <v>1</v>
      </c>
    </row>
    <row r="145" spans="1:16" x14ac:dyDescent="0.3">
      <c r="A145">
        <v>143</v>
      </c>
      <c r="B145" t="str">
        <f>HYPERLINK("https://imapinvasives.natureserve.org/imap/services/page/Presence/1180274.html", "View")</f>
        <v>View</v>
      </c>
      <c r="C145">
        <v>1180274</v>
      </c>
      <c r="D145">
        <v>1188136</v>
      </c>
      <c r="E145" t="str">
        <f>HYPERLINK("http://imap3images.s3-website-us-east-1.amazonaws.com/1188136/p/imap_app_photo_1636601155868.jpg", "View")</f>
        <v>View</v>
      </c>
      <c r="F145" t="s">
        <v>17</v>
      </c>
      <c r="G145" t="s">
        <v>18</v>
      </c>
      <c r="H145">
        <v>324726</v>
      </c>
      <c r="I145" t="str">
        <f>HYPERLINK("https://www.inaturalist.org/taxa/49188-Cryphonectria-parasitica", "View")</f>
        <v>View</v>
      </c>
      <c r="J145" t="s">
        <v>44</v>
      </c>
      <c r="K145" t="s">
        <v>45</v>
      </c>
      <c r="L145">
        <v>49188</v>
      </c>
      <c r="M145">
        <v>8.1199999999999992</v>
      </c>
      <c r="N145">
        <v>86.56</v>
      </c>
      <c r="P145">
        <v>0</v>
      </c>
    </row>
    <row r="146" spans="1:16" x14ac:dyDescent="0.3">
      <c r="A146">
        <v>144</v>
      </c>
      <c r="B146" t="str">
        <f>HYPERLINK("https://imapinvasives.natureserve.org/imap/services/page/Presence/1416976.html", "View")</f>
        <v>View</v>
      </c>
      <c r="C146">
        <v>1416976</v>
      </c>
      <c r="D146">
        <v>1430623</v>
      </c>
      <c r="E146" t="str">
        <f>HYPERLINK("http://imap3images.s3-website-us-east-1.amazonaws.com/1430623/p/inat_photo_398571876.jpg", "View")</f>
        <v>View</v>
      </c>
      <c r="F146" t="s">
        <v>17</v>
      </c>
      <c r="G146" t="s">
        <v>18</v>
      </c>
      <c r="H146">
        <v>324726</v>
      </c>
      <c r="I146" t="str">
        <f>HYPERLINK("https://www.inaturalist.org/taxa/324726-Lycorma-delicatula", "View")</f>
        <v>View</v>
      </c>
      <c r="J146" t="s">
        <v>17</v>
      </c>
      <c r="K146" t="s">
        <v>21</v>
      </c>
      <c r="L146">
        <v>324726</v>
      </c>
      <c r="M146">
        <v>57.71</v>
      </c>
      <c r="N146">
        <v>99.9</v>
      </c>
      <c r="P146">
        <v>1</v>
      </c>
    </row>
    <row r="147" spans="1:16" x14ac:dyDescent="0.3">
      <c r="A147">
        <v>145</v>
      </c>
      <c r="B147" t="str">
        <f>HYPERLINK("https://imapinvasives.natureserve.org/imap/services/page/Presence/1441368.html", "View")</f>
        <v>View</v>
      </c>
      <c r="C147">
        <v>1441368</v>
      </c>
      <c r="D147">
        <v>1455826</v>
      </c>
      <c r="E147" t="str">
        <f>HYPERLINK("http://imap3images.s3-website-us-east-1.amazonaws.com/1455826/p/imap_app_photo_1723945311861.jpg", "View")</f>
        <v>View</v>
      </c>
      <c r="F147" t="s">
        <v>17</v>
      </c>
      <c r="G147" t="s">
        <v>18</v>
      </c>
      <c r="H147">
        <v>324726</v>
      </c>
      <c r="I147" t="str">
        <f>HYPERLINK("https://www.inaturalist.org/taxa/131249-Persicaria-perfoliata", "View")</f>
        <v>View</v>
      </c>
      <c r="J147" t="s">
        <v>46</v>
      </c>
      <c r="K147" t="s">
        <v>47</v>
      </c>
      <c r="L147">
        <v>131249</v>
      </c>
      <c r="M147">
        <v>50.54</v>
      </c>
      <c r="N147">
        <v>7.27</v>
      </c>
      <c r="P147">
        <v>0</v>
      </c>
    </row>
    <row r="148" spans="1:16" x14ac:dyDescent="0.3">
      <c r="A148">
        <v>146</v>
      </c>
      <c r="B148" t="str">
        <f>HYPERLINK("https://imapinvasives.natureserve.org/imap/services/page/Presence/1349570.html", "View")</f>
        <v>View</v>
      </c>
      <c r="C148">
        <v>1349570</v>
      </c>
      <c r="D148">
        <v>1366515</v>
      </c>
      <c r="E148" t="str">
        <f>HYPERLINK("http://imap3images.s3-website-us-east-1.amazonaws.com/1366515/p/inat_photo_311691679.jpg", "View")</f>
        <v>View</v>
      </c>
      <c r="F148" t="s">
        <v>17</v>
      </c>
      <c r="G148" t="s">
        <v>18</v>
      </c>
      <c r="H148">
        <v>324726</v>
      </c>
      <c r="I148" t="str">
        <f>HYPERLINK("https://www.inaturalist.org/taxa/324726-Lycorma-delicatula", "View")</f>
        <v>View</v>
      </c>
      <c r="J148" t="s">
        <v>17</v>
      </c>
      <c r="K148" t="s">
        <v>21</v>
      </c>
      <c r="L148">
        <v>324726</v>
      </c>
      <c r="M148">
        <v>57.71</v>
      </c>
      <c r="N148">
        <v>98.96</v>
      </c>
      <c r="P148">
        <v>1</v>
      </c>
    </row>
    <row r="149" spans="1:16" x14ac:dyDescent="0.3">
      <c r="A149">
        <v>147</v>
      </c>
      <c r="B149" t="str">
        <f>HYPERLINK("https://imapinvasives.natureserve.org/imap/services/page/Presence/1343572.html", "View")</f>
        <v>View</v>
      </c>
      <c r="C149">
        <v>1343572</v>
      </c>
      <c r="D149">
        <v>1359161</v>
      </c>
      <c r="E149" t="str">
        <f>HYPERLINK("http://imap3images.s3-website-us-east-1.amazonaws.com/1359161/p/inat_photo_304870747.jpg", "View")</f>
        <v>View</v>
      </c>
      <c r="F149" t="s">
        <v>17</v>
      </c>
      <c r="G149" t="s">
        <v>18</v>
      </c>
      <c r="H149">
        <v>324726</v>
      </c>
      <c r="I149" t="str">
        <f>HYPERLINK("https://www.inaturalist.org/taxa/324726-Lycorma-delicatula", "View")</f>
        <v>View</v>
      </c>
      <c r="J149" t="s">
        <v>17</v>
      </c>
      <c r="K149" t="s">
        <v>21</v>
      </c>
      <c r="L149">
        <v>324726</v>
      </c>
      <c r="M149">
        <v>61.19</v>
      </c>
      <c r="N149">
        <v>99.16</v>
      </c>
      <c r="P149">
        <v>1</v>
      </c>
    </row>
    <row r="150" spans="1:16" x14ac:dyDescent="0.3">
      <c r="A150">
        <v>148</v>
      </c>
      <c r="B150" t="str">
        <f>HYPERLINK("https://imapinvasives.natureserve.org/imap/services/page/Presence/1335252.html", "View")</f>
        <v>View</v>
      </c>
      <c r="C150">
        <v>1335252</v>
      </c>
      <c r="D150">
        <v>1349529</v>
      </c>
      <c r="E150" t="str">
        <f>HYPERLINK("http://imap3images.s3-website-us-east-1.amazonaws.com/1349529/p/inat_photo_287343704.jpg", "View")</f>
        <v>View</v>
      </c>
      <c r="F150" t="s">
        <v>17</v>
      </c>
      <c r="G150" t="s">
        <v>18</v>
      </c>
      <c r="H150">
        <v>324726</v>
      </c>
      <c r="I150" t="str">
        <f>HYPERLINK("https://www.inaturalist.org/taxa/324726-Lycorma-delicatula", "View")</f>
        <v>View</v>
      </c>
      <c r="J150" t="s">
        <v>17</v>
      </c>
      <c r="K150" t="s">
        <v>21</v>
      </c>
      <c r="L150">
        <v>324726</v>
      </c>
      <c r="M150">
        <v>64.569999999999993</v>
      </c>
      <c r="N150">
        <v>99.37</v>
      </c>
      <c r="P150">
        <v>1</v>
      </c>
    </row>
    <row r="151" spans="1:16" x14ac:dyDescent="0.3">
      <c r="A151">
        <v>149</v>
      </c>
      <c r="B151" t="str">
        <f>HYPERLINK("https://imapinvasives.natureserve.org/imap/services/page/Presence/1363333.html", "View")</f>
        <v>View</v>
      </c>
      <c r="C151">
        <v>1363333</v>
      </c>
      <c r="D151">
        <v>1381156</v>
      </c>
      <c r="E151" t="str">
        <f>HYPERLINK("http://imap3images.s3-website-us-east-1.amazonaws.com/1381156/p/inat_photo_329273392.jpg", "View")</f>
        <v>View</v>
      </c>
      <c r="F151" t="s">
        <v>17</v>
      </c>
      <c r="G151" t="s">
        <v>18</v>
      </c>
      <c r="H151">
        <v>324726</v>
      </c>
      <c r="I151" t="str">
        <f>HYPERLINK("https://www.inaturalist.org/taxa/324726-Lycorma-delicatula", "View")</f>
        <v>View</v>
      </c>
      <c r="J151" t="s">
        <v>17</v>
      </c>
      <c r="K151" t="s">
        <v>21</v>
      </c>
      <c r="L151">
        <v>324726</v>
      </c>
      <c r="M151">
        <v>39.76</v>
      </c>
      <c r="N151">
        <v>99.8</v>
      </c>
      <c r="P151">
        <v>1</v>
      </c>
    </row>
    <row r="152" spans="1:16" x14ac:dyDescent="0.3">
      <c r="A152">
        <v>150</v>
      </c>
      <c r="B152" t="str">
        <f>HYPERLINK("https://imapinvasives.natureserve.org/imap/services/page/Presence/1334248.html", "View")</f>
        <v>View</v>
      </c>
      <c r="C152">
        <v>1334248</v>
      </c>
      <c r="D152">
        <v>1348336</v>
      </c>
      <c r="E152" t="str">
        <f>HYPERLINK("http://imap3images.s3-website-us-east-1.amazonaws.com/1348336/p/IMG-2782.JPG", "View")</f>
        <v>View</v>
      </c>
      <c r="F152" t="s">
        <v>17</v>
      </c>
      <c r="G152" t="s">
        <v>18</v>
      </c>
      <c r="H152">
        <v>324726</v>
      </c>
      <c r="I152" t="str">
        <f>HYPERLINK("https://www.inaturalist.org/taxa/199125-Osmia-bucephala", "View")</f>
        <v>View</v>
      </c>
      <c r="J152" t="s">
        <v>48</v>
      </c>
      <c r="K152" t="s">
        <v>49</v>
      </c>
      <c r="L152">
        <v>199125</v>
      </c>
      <c r="M152">
        <v>8.6300000000000008</v>
      </c>
      <c r="N152">
        <v>10.99</v>
      </c>
      <c r="P152">
        <v>0</v>
      </c>
    </row>
    <row r="153" spans="1:16" x14ac:dyDescent="0.3">
      <c r="A153">
        <v>151</v>
      </c>
      <c r="B153" t="str">
        <f>HYPERLINK("https://imapinvasives.natureserve.org/imap/services/page/Presence/1363336.html", "View")</f>
        <v>View</v>
      </c>
      <c r="C153">
        <v>1363336</v>
      </c>
      <c r="D153">
        <v>1381159</v>
      </c>
      <c r="E153" t="str">
        <f>HYPERLINK("http://imap3images.s3-website-us-east-1.amazonaws.com/1381159/p/inat_photo_331118276.jpg", "View")</f>
        <v>View</v>
      </c>
      <c r="F153" t="s">
        <v>17</v>
      </c>
      <c r="G153" t="s">
        <v>18</v>
      </c>
      <c r="H153">
        <v>324726</v>
      </c>
      <c r="I153" t="str">
        <f t="shared" ref="I153:I161" si="9">HYPERLINK("https://www.inaturalist.org/taxa/324726-Lycorma-delicatula", "View")</f>
        <v>View</v>
      </c>
      <c r="J153" t="s">
        <v>17</v>
      </c>
      <c r="K153" t="s">
        <v>21</v>
      </c>
      <c r="L153">
        <v>324726</v>
      </c>
      <c r="M153">
        <v>64.569999999999993</v>
      </c>
      <c r="N153">
        <v>99.83</v>
      </c>
      <c r="P153">
        <v>1</v>
      </c>
    </row>
    <row r="154" spans="1:16" x14ac:dyDescent="0.3">
      <c r="A154">
        <v>152</v>
      </c>
      <c r="B154" t="str">
        <f>HYPERLINK("https://imapinvasives.natureserve.org/imap/services/page/Presence/1439740.html", "View")</f>
        <v>View</v>
      </c>
      <c r="C154">
        <v>1439740</v>
      </c>
      <c r="D154">
        <v>1454174</v>
      </c>
      <c r="E154" t="str">
        <f>HYPERLINK("http://imap3images.s3-website-us-east-1.amazonaws.com/1454174/p/imap_app_photo_1723479378998.jpg", "View")</f>
        <v>View</v>
      </c>
      <c r="F154" t="s">
        <v>17</v>
      </c>
      <c r="G154" t="s">
        <v>18</v>
      </c>
      <c r="H154">
        <v>324726</v>
      </c>
      <c r="I154" t="str">
        <f t="shared" si="9"/>
        <v>View</v>
      </c>
      <c r="J154" t="s">
        <v>17</v>
      </c>
      <c r="K154" t="s">
        <v>21</v>
      </c>
      <c r="L154">
        <v>324726</v>
      </c>
      <c r="M154">
        <v>39.76</v>
      </c>
      <c r="N154">
        <v>99.92</v>
      </c>
      <c r="P154">
        <v>1</v>
      </c>
    </row>
    <row r="155" spans="1:16" x14ac:dyDescent="0.3">
      <c r="A155">
        <v>153</v>
      </c>
      <c r="B155" t="str">
        <f>HYPERLINK("https://imapinvasives.natureserve.org/imap/services/page/Presence/1163949.html", "View")</f>
        <v>View</v>
      </c>
      <c r="C155">
        <v>1163949</v>
      </c>
      <c r="D155">
        <v>1171179</v>
      </c>
      <c r="E155" t="str">
        <f>HYPERLINK("http://imap3images.s3-website-us-east-1.amazonaws.com/1171179/p/inat_photo_157710137.jpg", "View")</f>
        <v>View</v>
      </c>
      <c r="F155" t="s">
        <v>17</v>
      </c>
      <c r="G155" t="s">
        <v>18</v>
      </c>
      <c r="H155">
        <v>324726</v>
      </c>
      <c r="I155" t="str">
        <f t="shared" si="9"/>
        <v>View</v>
      </c>
      <c r="J155" t="s">
        <v>17</v>
      </c>
      <c r="K155" t="s">
        <v>21</v>
      </c>
      <c r="L155">
        <v>324726</v>
      </c>
      <c r="M155">
        <v>89.66</v>
      </c>
      <c r="N155">
        <v>99.85</v>
      </c>
      <c r="P155">
        <v>1</v>
      </c>
    </row>
    <row r="156" spans="1:16" x14ac:dyDescent="0.3">
      <c r="A156">
        <v>154</v>
      </c>
      <c r="B156" t="str">
        <f>HYPERLINK("https://imapinvasives.natureserve.org/imap/services/page/Presence/1293039.html", "View")</f>
        <v>View</v>
      </c>
      <c r="C156">
        <v>1293039</v>
      </c>
      <c r="D156">
        <v>1303244</v>
      </c>
      <c r="E156" t="str">
        <f>HYPERLINK("http://imap3images.s3-website-us-east-1.amazonaws.com/1303244/p/imap_app_photo_1663268113767.jpg", "View")</f>
        <v>View</v>
      </c>
      <c r="F156" t="s">
        <v>17</v>
      </c>
      <c r="G156" t="s">
        <v>18</v>
      </c>
      <c r="H156">
        <v>324726</v>
      </c>
      <c r="I156" t="str">
        <f t="shared" si="9"/>
        <v>View</v>
      </c>
      <c r="J156" t="s">
        <v>17</v>
      </c>
      <c r="K156" t="s">
        <v>21</v>
      </c>
      <c r="L156">
        <v>324726</v>
      </c>
      <c r="M156">
        <v>81.28</v>
      </c>
      <c r="N156">
        <v>37.42</v>
      </c>
      <c r="P156">
        <v>1</v>
      </c>
    </row>
    <row r="157" spans="1:16" x14ac:dyDescent="0.3">
      <c r="A157">
        <v>155</v>
      </c>
      <c r="B157" t="str">
        <f>HYPERLINK("https://imapinvasives.natureserve.org/imap/services/page/Presence/1164015.html", "View")</f>
        <v>View</v>
      </c>
      <c r="C157">
        <v>1164015</v>
      </c>
      <c r="D157">
        <v>1171245</v>
      </c>
      <c r="E157" t="str">
        <f>HYPERLINK("http://imap3images.s3-website-us-east-1.amazonaws.com/1171245/p/IMG_2655.JPG", "View")</f>
        <v>View</v>
      </c>
      <c r="F157" t="s">
        <v>17</v>
      </c>
      <c r="G157" t="s">
        <v>18</v>
      </c>
      <c r="H157">
        <v>324726</v>
      </c>
      <c r="I157" t="str">
        <f t="shared" si="9"/>
        <v>View</v>
      </c>
      <c r="J157" t="s">
        <v>17</v>
      </c>
      <c r="K157" t="s">
        <v>21</v>
      </c>
      <c r="L157">
        <v>324726</v>
      </c>
      <c r="M157">
        <v>81.28</v>
      </c>
      <c r="N157">
        <v>99.12</v>
      </c>
      <c r="P157">
        <v>1</v>
      </c>
    </row>
    <row r="158" spans="1:16" x14ac:dyDescent="0.3">
      <c r="A158">
        <v>156</v>
      </c>
      <c r="B158" t="str">
        <f>HYPERLINK("https://imapinvasives.natureserve.org/imap/services/page/Presence/1160168.html", "View")</f>
        <v>View</v>
      </c>
      <c r="C158">
        <v>1160168</v>
      </c>
      <c r="D158">
        <v>1167277</v>
      </c>
      <c r="E158" t="str">
        <f>HYPERLINK("http://imap3images.s3-website-us-east-1.amazonaws.com/1167277/p/inat_photo_153191392.jpg", "View")</f>
        <v>View</v>
      </c>
      <c r="F158" t="s">
        <v>17</v>
      </c>
      <c r="G158" t="s">
        <v>18</v>
      </c>
      <c r="H158">
        <v>324726</v>
      </c>
      <c r="I158" t="str">
        <f t="shared" si="9"/>
        <v>View</v>
      </c>
      <c r="J158" t="s">
        <v>17</v>
      </c>
      <c r="K158" t="s">
        <v>21</v>
      </c>
      <c r="L158">
        <v>324726</v>
      </c>
      <c r="M158">
        <v>81.28</v>
      </c>
      <c r="N158">
        <v>99.93</v>
      </c>
      <c r="P158">
        <v>1</v>
      </c>
    </row>
    <row r="159" spans="1:16" x14ac:dyDescent="0.3">
      <c r="A159">
        <v>157</v>
      </c>
      <c r="B159" t="str">
        <f>HYPERLINK("https://imapinvasives.natureserve.org/imap/services/page/Presence/1290104.html", "View")</f>
        <v>View</v>
      </c>
      <c r="C159">
        <v>1290104</v>
      </c>
      <c r="D159">
        <v>1300287</v>
      </c>
      <c r="E159" t="str">
        <f>HYPERLINK("http://imap3images.s3-website-us-east-1.amazonaws.com/1300287/p/spotted_lantern_fly_nyc.jpg", "View")</f>
        <v>View</v>
      </c>
      <c r="F159" t="s">
        <v>17</v>
      </c>
      <c r="G159" t="s">
        <v>18</v>
      </c>
      <c r="H159">
        <v>324726</v>
      </c>
      <c r="I159" t="str">
        <f t="shared" si="9"/>
        <v>View</v>
      </c>
      <c r="J159" t="s">
        <v>17</v>
      </c>
      <c r="K159" t="s">
        <v>21</v>
      </c>
      <c r="L159">
        <v>324726</v>
      </c>
      <c r="M159">
        <v>81.28</v>
      </c>
      <c r="N159">
        <v>99.82</v>
      </c>
      <c r="P159">
        <v>1</v>
      </c>
    </row>
    <row r="160" spans="1:16" x14ac:dyDescent="0.3">
      <c r="A160">
        <v>158</v>
      </c>
      <c r="B160" t="str">
        <f>HYPERLINK("https://imapinvasives.natureserve.org/imap/services/page/Presence/1293038.html", "View")</f>
        <v>View</v>
      </c>
      <c r="C160">
        <v>1293038</v>
      </c>
      <c r="D160">
        <v>1303243</v>
      </c>
      <c r="E160" t="str">
        <f>HYPERLINK("http://imap3images.s3-website-us-east-1.amazonaws.com/1303243/p/imap_app_photo_1663268107604.jpg", "View")</f>
        <v>View</v>
      </c>
      <c r="F160" t="s">
        <v>17</v>
      </c>
      <c r="G160" t="s">
        <v>18</v>
      </c>
      <c r="H160">
        <v>324726</v>
      </c>
      <c r="I160" t="str">
        <f t="shared" si="9"/>
        <v>View</v>
      </c>
      <c r="J160" t="s">
        <v>17</v>
      </c>
      <c r="K160" t="s">
        <v>21</v>
      </c>
      <c r="L160">
        <v>324726</v>
      </c>
      <c r="M160">
        <v>81.28</v>
      </c>
      <c r="N160">
        <v>99.94</v>
      </c>
      <c r="P160">
        <v>1</v>
      </c>
    </row>
    <row r="161" spans="1:16" x14ac:dyDescent="0.3">
      <c r="A161">
        <v>159</v>
      </c>
      <c r="B161" t="str">
        <f>HYPERLINK("https://imapinvasives.natureserve.org/imap/services/page/Presence/1293045.html", "View")</f>
        <v>View</v>
      </c>
      <c r="C161">
        <v>1293045</v>
      </c>
      <c r="D161">
        <v>1303250</v>
      </c>
      <c r="E161" t="str">
        <f>HYPERLINK("http://imap3images.s3-website-us-east-1.amazonaws.com/1303250/p/imap_app_photo_1663268149784.jpg", "View")</f>
        <v>View</v>
      </c>
      <c r="F161" t="s">
        <v>17</v>
      </c>
      <c r="G161" t="s">
        <v>18</v>
      </c>
      <c r="H161">
        <v>324726</v>
      </c>
      <c r="I161" t="str">
        <f t="shared" si="9"/>
        <v>View</v>
      </c>
      <c r="J161" t="s">
        <v>17</v>
      </c>
      <c r="K161" t="s">
        <v>21</v>
      </c>
      <c r="L161">
        <v>324726</v>
      </c>
      <c r="M161">
        <v>81.28</v>
      </c>
      <c r="N161">
        <v>100</v>
      </c>
      <c r="P161">
        <v>1</v>
      </c>
    </row>
    <row r="162" spans="1:16" x14ac:dyDescent="0.3">
      <c r="A162">
        <v>160</v>
      </c>
      <c r="B162" t="str">
        <f>HYPERLINK("https://imapinvasives.natureserve.org/imap/services/page/Presence/1293041.html", "View")</f>
        <v>View</v>
      </c>
      <c r="C162">
        <v>1293041</v>
      </c>
      <c r="D162">
        <v>1303246</v>
      </c>
      <c r="E162" t="str">
        <f>HYPERLINK("http://imap3images.s3-website-us-east-1.amazonaws.com/1303246/p/imap_app_photo_1663268126449.jpg", "View")</f>
        <v>View</v>
      </c>
      <c r="F162" t="s">
        <v>17</v>
      </c>
      <c r="G162" t="s">
        <v>18</v>
      </c>
      <c r="H162">
        <v>324726</v>
      </c>
      <c r="I162" t="str">
        <f>HYPERLINK("https://www.inaturalist.org/taxa/67771-Leptoglossus-occidentalis", "View")</f>
        <v>View</v>
      </c>
      <c r="J162" t="s">
        <v>50</v>
      </c>
      <c r="K162" t="s">
        <v>51</v>
      </c>
      <c r="L162">
        <v>67771</v>
      </c>
      <c r="M162">
        <v>80.36</v>
      </c>
      <c r="N162">
        <v>51.31</v>
      </c>
      <c r="P162">
        <v>0</v>
      </c>
    </row>
    <row r="163" spans="1:16" x14ac:dyDescent="0.3">
      <c r="A163">
        <v>161</v>
      </c>
      <c r="B163" t="str">
        <f>HYPERLINK("https://imapinvasives.natureserve.org/imap/services/page/Presence/1164072.html", "View")</f>
        <v>View</v>
      </c>
      <c r="C163">
        <v>1164072</v>
      </c>
      <c r="D163">
        <v>1171303</v>
      </c>
      <c r="E163" t="str">
        <f>HYPERLINK("http://imap3images.s3-website-us-east-1.amazonaws.com/1171303/p/inat_photo_158133414.jpg", "View")</f>
        <v>View</v>
      </c>
      <c r="F163" t="s">
        <v>17</v>
      </c>
      <c r="G163" t="s">
        <v>18</v>
      </c>
      <c r="H163">
        <v>324726</v>
      </c>
      <c r="I163" t="str">
        <f>HYPERLINK("https://www.inaturalist.org/taxa/324726-Lycorma-delicatula", "View")</f>
        <v>View</v>
      </c>
      <c r="J163" t="s">
        <v>17</v>
      </c>
      <c r="K163" t="s">
        <v>21</v>
      </c>
      <c r="L163">
        <v>324726</v>
      </c>
      <c r="M163">
        <v>81.28</v>
      </c>
      <c r="N163">
        <v>53.71</v>
      </c>
      <c r="P163">
        <v>1</v>
      </c>
    </row>
    <row r="164" spans="1:16" x14ac:dyDescent="0.3">
      <c r="A164">
        <v>162</v>
      </c>
      <c r="B164" t="str">
        <f>HYPERLINK("https://imapinvasives.natureserve.org/imap/services/page/Presence/1362547.html", "View")</f>
        <v>View</v>
      </c>
      <c r="C164">
        <v>1362547</v>
      </c>
      <c r="D164">
        <v>1380230</v>
      </c>
      <c r="E164" t="str">
        <f>HYPERLINK("http://imap3images.s3-website-us-east-1.amazonaws.com/1380230/p/imap_app_photo_1698767361794.jpg", "View")</f>
        <v>View</v>
      </c>
      <c r="F164" t="s">
        <v>17</v>
      </c>
      <c r="G164" t="s">
        <v>18</v>
      </c>
      <c r="H164">
        <v>324726</v>
      </c>
      <c r="I164" t="str">
        <f>HYPERLINK("https://www.inaturalist.org/taxa/324726-Lycorma-delicatula", "View")</f>
        <v>View</v>
      </c>
      <c r="J164" t="s">
        <v>17</v>
      </c>
      <c r="K164" t="s">
        <v>21</v>
      </c>
      <c r="L164">
        <v>324726</v>
      </c>
      <c r="M164">
        <v>81.28</v>
      </c>
      <c r="N164">
        <v>68.13</v>
      </c>
      <c r="P164">
        <v>1</v>
      </c>
    </row>
    <row r="165" spans="1:16" x14ac:dyDescent="0.3">
      <c r="A165">
        <v>163</v>
      </c>
      <c r="B165" t="str">
        <f>HYPERLINK("https://imapinvasives.natureserve.org/imap/services/page/Presence/1293036.html", "View")</f>
        <v>View</v>
      </c>
      <c r="C165">
        <v>1293036</v>
      </c>
      <c r="D165">
        <v>1303241</v>
      </c>
      <c r="E165" t="str">
        <f>HYPERLINK("http://imap3images.s3-website-us-east-1.amazonaws.com/1303241/p/imap_app_photo_1663268095259.jpg", "View")</f>
        <v>View</v>
      </c>
      <c r="F165" t="s">
        <v>17</v>
      </c>
      <c r="G165" t="s">
        <v>18</v>
      </c>
      <c r="H165">
        <v>324726</v>
      </c>
      <c r="I165" t="str">
        <f>HYPERLINK("https://www.inaturalist.org/taxa/324726-Lycorma-delicatula", "View")</f>
        <v>View</v>
      </c>
      <c r="J165" t="s">
        <v>17</v>
      </c>
      <c r="K165" t="s">
        <v>21</v>
      </c>
      <c r="L165">
        <v>324726</v>
      </c>
      <c r="M165">
        <v>81.28</v>
      </c>
      <c r="N165">
        <v>99.9</v>
      </c>
      <c r="P165">
        <v>1</v>
      </c>
    </row>
    <row r="166" spans="1:16" x14ac:dyDescent="0.3">
      <c r="A166">
        <v>164</v>
      </c>
      <c r="B166" t="str">
        <f>HYPERLINK("https://imapinvasives.natureserve.org/imap/services/page/Presence/1355267.html", "View")</f>
        <v>View</v>
      </c>
      <c r="C166">
        <v>1355267</v>
      </c>
      <c r="D166">
        <v>1372899</v>
      </c>
      <c r="E166" t="str">
        <f>HYPERLINK("http://imap3images.s3-website-us-east-1.amazonaws.com/1372899/p/IMG_20230609_122652964.jpg", "View")</f>
        <v>View</v>
      </c>
      <c r="F166" t="s">
        <v>17</v>
      </c>
      <c r="G166" t="s">
        <v>18</v>
      </c>
      <c r="H166">
        <v>324726</v>
      </c>
      <c r="I166" t="str">
        <f>HYPERLINK("https://www.inaturalist.org/taxa/354898-Diplocarpon-rosae", "View")</f>
        <v>View</v>
      </c>
      <c r="J166" t="s">
        <v>52</v>
      </c>
      <c r="K166" t="s">
        <v>53</v>
      </c>
      <c r="L166">
        <v>354898</v>
      </c>
      <c r="M166">
        <v>15.91</v>
      </c>
      <c r="N166">
        <v>98.26</v>
      </c>
      <c r="P166">
        <v>0</v>
      </c>
    </row>
    <row r="167" spans="1:16" x14ac:dyDescent="0.3">
      <c r="A167">
        <v>165</v>
      </c>
      <c r="B167" t="str">
        <f>HYPERLINK("https://imapinvasives.natureserve.org/imap/services/page/Presence/1165053.html", "View")</f>
        <v>View</v>
      </c>
      <c r="C167">
        <v>1165053</v>
      </c>
      <c r="D167">
        <v>1172312</v>
      </c>
      <c r="E167" t="str">
        <f>HYPERLINK("http://imap3images.s3-website-us-east-1.amazonaws.com/1172312/p/inat_photo_159676251.jpg", "View")</f>
        <v>View</v>
      </c>
      <c r="F167" t="s">
        <v>17</v>
      </c>
      <c r="G167" t="s">
        <v>18</v>
      </c>
      <c r="H167">
        <v>324726</v>
      </c>
      <c r="I167" t="str">
        <f t="shared" ref="I167:I173" si="10">HYPERLINK("https://www.inaturalist.org/taxa/324726-Lycorma-delicatula", "View")</f>
        <v>View</v>
      </c>
      <c r="J167" t="s">
        <v>17</v>
      </c>
      <c r="K167" t="s">
        <v>21</v>
      </c>
      <c r="L167">
        <v>324726</v>
      </c>
      <c r="M167">
        <v>63.27</v>
      </c>
      <c r="N167">
        <v>99.97</v>
      </c>
      <c r="P167">
        <v>1</v>
      </c>
    </row>
    <row r="168" spans="1:16" x14ac:dyDescent="0.3">
      <c r="A168">
        <v>166</v>
      </c>
      <c r="B168" t="str">
        <f>HYPERLINK("https://imapinvasives.natureserve.org/imap/services/page/Presence/1160164.html", "View")</f>
        <v>View</v>
      </c>
      <c r="C168">
        <v>1160164</v>
      </c>
      <c r="D168">
        <v>1167273</v>
      </c>
      <c r="E168" t="str">
        <f>HYPERLINK("http://imap3images.s3-website-us-east-1.amazonaws.com/1167273/p/inat_photo_153182467.jpg", "View")</f>
        <v>View</v>
      </c>
      <c r="F168" t="s">
        <v>17</v>
      </c>
      <c r="G168" t="s">
        <v>18</v>
      </c>
      <c r="H168">
        <v>324726</v>
      </c>
      <c r="I168" t="str">
        <f t="shared" si="10"/>
        <v>View</v>
      </c>
      <c r="J168" t="s">
        <v>17</v>
      </c>
      <c r="K168" t="s">
        <v>21</v>
      </c>
      <c r="L168">
        <v>324726</v>
      </c>
      <c r="M168">
        <v>89.66</v>
      </c>
      <c r="N168">
        <v>99.83</v>
      </c>
      <c r="P168">
        <v>1</v>
      </c>
    </row>
    <row r="169" spans="1:16" x14ac:dyDescent="0.3">
      <c r="A169">
        <v>167</v>
      </c>
      <c r="B169" t="str">
        <f>HYPERLINK("https://imapinvasives.natureserve.org/imap/services/page/Presence/1167043.html", "View")</f>
        <v>View</v>
      </c>
      <c r="C169">
        <v>1167043</v>
      </c>
      <c r="D169">
        <v>1174371</v>
      </c>
      <c r="E169" t="str">
        <f>HYPERLINK("http://imap3images.s3-website-us-east-1.amazonaws.com/1174371/p/inat_photo_161026929.jpg", "View")</f>
        <v>View</v>
      </c>
      <c r="F169" t="s">
        <v>17</v>
      </c>
      <c r="G169" t="s">
        <v>18</v>
      </c>
      <c r="H169">
        <v>324726</v>
      </c>
      <c r="I169" t="str">
        <f t="shared" si="10"/>
        <v>View</v>
      </c>
      <c r="J169" t="s">
        <v>17</v>
      </c>
      <c r="K169" t="s">
        <v>21</v>
      </c>
      <c r="L169">
        <v>324726</v>
      </c>
      <c r="M169">
        <v>63.27</v>
      </c>
      <c r="N169">
        <v>97.01</v>
      </c>
      <c r="P169">
        <v>1</v>
      </c>
    </row>
    <row r="170" spans="1:16" x14ac:dyDescent="0.3">
      <c r="A170">
        <v>168</v>
      </c>
      <c r="B170" t="str">
        <f>HYPERLINK("https://imapinvasives.natureserve.org/imap/services/page/Presence/1438703.html", "View")</f>
        <v>View</v>
      </c>
      <c r="C170">
        <v>1438703</v>
      </c>
      <c r="D170">
        <v>1452972</v>
      </c>
      <c r="E170" t="str">
        <f>HYPERLINK("http://imap3images.s3-website-us-east-1.amazonaws.com/1452972/p/IMG_20240804_110930.jpg", "View")</f>
        <v>View</v>
      </c>
      <c r="F170" t="s">
        <v>17</v>
      </c>
      <c r="G170" t="s">
        <v>18</v>
      </c>
      <c r="H170">
        <v>324726</v>
      </c>
      <c r="I170" t="str">
        <f t="shared" si="10"/>
        <v>View</v>
      </c>
      <c r="J170" t="s">
        <v>17</v>
      </c>
      <c r="K170" t="s">
        <v>21</v>
      </c>
      <c r="L170">
        <v>324726</v>
      </c>
      <c r="M170">
        <v>81.28</v>
      </c>
      <c r="N170">
        <v>99.96</v>
      </c>
      <c r="P170">
        <v>1</v>
      </c>
    </row>
    <row r="171" spans="1:16" x14ac:dyDescent="0.3">
      <c r="A171">
        <v>169</v>
      </c>
      <c r="B171" t="str">
        <f>HYPERLINK("https://imapinvasives.natureserve.org/imap/services/page/Presence/1159906.html", "View")</f>
        <v>View</v>
      </c>
      <c r="C171">
        <v>1159906</v>
      </c>
      <c r="D171">
        <v>1167015</v>
      </c>
      <c r="E171" t="str">
        <f>HYPERLINK("http://imap3images.s3-website-us-east-1.amazonaws.com/1167015/p/inat_photo_153114285.jpg", "View")</f>
        <v>View</v>
      </c>
      <c r="F171" t="s">
        <v>17</v>
      </c>
      <c r="G171" t="s">
        <v>18</v>
      </c>
      <c r="H171">
        <v>324726</v>
      </c>
      <c r="I171" t="str">
        <f t="shared" si="10"/>
        <v>View</v>
      </c>
      <c r="J171" t="s">
        <v>17</v>
      </c>
      <c r="K171" t="s">
        <v>21</v>
      </c>
      <c r="L171">
        <v>324726</v>
      </c>
      <c r="M171">
        <v>81.28</v>
      </c>
      <c r="N171">
        <v>98.5</v>
      </c>
      <c r="P171">
        <v>1</v>
      </c>
    </row>
    <row r="172" spans="1:16" x14ac:dyDescent="0.3">
      <c r="A172">
        <v>170</v>
      </c>
      <c r="B172" t="str">
        <f>HYPERLINK("https://imapinvasives.natureserve.org/imap/services/page/Presence/1434902.html", "View")</f>
        <v>View</v>
      </c>
      <c r="C172">
        <v>1434902</v>
      </c>
      <c r="D172">
        <v>1448592</v>
      </c>
      <c r="E172" t="str">
        <f>HYPERLINK("http://imap3images.s3-website-us-east-1.amazonaws.com/1448592/p/1000012305.jpg", "View")</f>
        <v>View</v>
      </c>
      <c r="F172" t="s">
        <v>17</v>
      </c>
      <c r="G172" t="s">
        <v>18</v>
      </c>
      <c r="H172">
        <v>324726</v>
      </c>
      <c r="I172" t="str">
        <f t="shared" si="10"/>
        <v>View</v>
      </c>
      <c r="J172" t="s">
        <v>17</v>
      </c>
      <c r="K172" t="s">
        <v>21</v>
      </c>
      <c r="L172">
        <v>324726</v>
      </c>
      <c r="M172">
        <v>81.28</v>
      </c>
      <c r="N172">
        <v>99.86</v>
      </c>
      <c r="P172">
        <v>1</v>
      </c>
    </row>
    <row r="173" spans="1:16" x14ac:dyDescent="0.3">
      <c r="A173">
        <v>171</v>
      </c>
      <c r="B173" t="str">
        <f>HYPERLINK("https://imapinvasives.natureserve.org/imap/services/page/Presence/1291891.html", "View")</f>
        <v>View</v>
      </c>
      <c r="C173">
        <v>1291891</v>
      </c>
      <c r="D173">
        <v>1302096</v>
      </c>
      <c r="E173" t="str">
        <f>HYPERLINK("http://imap3images.s3-website-us-east-1.amazonaws.com/1302096/p/imap_app_photo_1663080409726.jpg", "View")</f>
        <v>View</v>
      </c>
      <c r="F173" t="s">
        <v>17</v>
      </c>
      <c r="G173" t="s">
        <v>18</v>
      </c>
      <c r="H173">
        <v>324726</v>
      </c>
      <c r="I173" t="str">
        <f t="shared" si="10"/>
        <v>View</v>
      </c>
      <c r="J173" t="s">
        <v>17</v>
      </c>
      <c r="K173" t="s">
        <v>21</v>
      </c>
      <c r="L173">
        <v>324726</v>
      </c>
      <c r="M173">
        <v>81.28</v>
      </c>
      <c r="N173">
        <v>99.76</v>
      </c>
      <c r="P173">
        <v>1</v>
      </c>
    </row>
    <row r="174" spans="1:16" x14ac:dyDescent="0.3">
      <c r="A174">
        <v>172</v>
      </c>
      <c r="B174" t="str">
        <f>HYPERLINK("https://imapinvasives.natureserve.org/imap/services/page/Presence/1293042.html", "View")</f>
        <v>View</v>
      </c>
      <c r="C174">
        <v>1293042</v>
      </c>
      <c r="D174">
        <v>1303247</v>
      </c>
      <c r="E174" t="str">
        <f>HYPERLINK("http://imap3images.s3-website-us-east-1.amazonaws.com/1303247/p/imap_app_photo_1663268132376.jpg", "View")</f>
        <v>View</v>
      </c>
      <c r="F174" t="s">
        <v>17</v>
      </c>
      <c r="G174" t="s">
        <v>18</v>
      </c>
      <c r="H174">
        <v>324726</v>
      </c>
      <c r="I174" t="str">
        <f>HYPERLINK("https://www.inaturalist.org/taxa/126848-Delphinia-picta", "View")</f>
        <v>View</v>
      </c>
      <c r="J174" t="s">
        <v>54</v>
      </c>
      <c r="K174" t="s">
        <v>55</v>
      </c>
      <c r="L174">
        <v>126848</v>
      </c>
      <c r="M174">
        <v>73.28</v>
      </c>
      <c r="N174">
        <v>42.11</v>
      </c>
      <c r="P174">
        <v>0</v>
      </c>
    </row>
    <row r="175" spans="1:16" x14ac:dyDescent="0.3">
      <c r="A175">
        <v>173</v>
      </c>
      <c r="B175" t="str">
        <f>HYPERLINK("https://imapinvasives.natureserve.org/imap/services/page/Presence/1291889.html", "View")</f>
        <v>View</v>
      </c>
      <c r="C175">
        <v>1291889</v>
      </c>
      <c r="D175">
        <v>1302094</v>
      </c>
      <c r="E175" t="str">
        <f>HYPERLINK("http://imap3images.s3-website-us-east-1.amazonaws.com/1302094/p/imap_app_photo_1663080397282.jpg", "View")</f>
        <v>View</v>
      </c>
      <c r="F175" t="s">
        <v>17</v>
      </c>
      <c r="G175" t="s">
        <v>18</v>
      </c>
      <c r="H175">
        <v>324726</v>
      </c>
      <c r="I175" t="str">
        <f>HYPERLINK("https://www.inaturalist.org/taxa/324726-Lycorma-delicatula", "View")</f>
        <v>View</v>
      </c>
      <c r="J175" t="s">
        <v>17</v>
      </c>
      <c r="K175" t="s">
        <v>21</v>
      </c>
      <c r="L175">
        <v>324726</v>
      </c>
      <c r="M175">
        <v>81.28</v>
      </c>
      <c r="N175">
        <v>69.22</v>
      </c>
      <c r="P175">
        <v>1</v>
      </c>
    </row>
    <row r="176" spans="1:16" x14ac:dyDescent="0.3">
      <c r="A176">
        <v>174</v>
      </c>
      <c r="B176" t="str">
        <f>HYPERLINK("https://imapinvasives.natureserve.org/imap/services/page/Presence/1160163.html", "View")</f>
        <v>View</v>
      </c>
      <c r="C176">
        <v>1160163</v>
      </c>
      <c r="D176">
        <v>1167272</v>
      </c>
      <c r="E176" t="str">
        <f>HYPERLINK("http://imap3images.s3-website-us-east-1.amazonaws.com/1167272/p/inat_photo_153178949.jpg", "View")</f>
        <v>View</v>
      </c>
      <c r="F176" t="s">
        <v>17</v>
      </c>
      <c r="G176" t="s">
        <v>18</v>
      </c>
      <c r="H176">
        <v>324726</v>
      </c>
      <c r="I176" t="str">
        <f>HYPERLINK("https://www.inaturalist.org/taxa/324726-Lycorma-delicatula", "View")</f>
        <v>View</v>
      </c>
      <c r="J176" t="s">
        <v>17</v>
      </c>
      <c r="K176" t="s">
        <v>21</v>
      </c>
      <c r="L176">
        <v>324726</v>
      </c>
      <c r="M176">
        <v>63.27</v>
      </c>
      <c r="N176">
        <v>99.34</v>
      </c>
      <c r="P176">
        <v>1</v>
      </c>
    </row>
    <row r="177" spans="1:16" x14ac:dyDescent="0.3">
      <c r="A177">
        <v>175</v>
      </c>
      <c r="B177" t="str">
        <f>HYPERLINK("https://imapinvasives.natureserve.org/imap/services/page/Presence/1159282.html", "View")</f>
        <v>View</v>
      </c>
      <c r="C177">
        <v>1159282</v>
      </c>
      <c r="D177">
        <v>1166364</v>
      </c>
      <c r="E177" t="str">
        <f>HYPERLINK("http://imap3images.s3-website-us-east-1.amazonaws.com/1166364/p/inat_photo_151614580.jpg", "View")</f>
        <v>View</v>
      </c>
      <c r="F177" t="s">
        <v>17</v>
      </c>
      <c r="G177" t="s">
        <v>18</v>
      </c>
      <c r="H177">
        <v>324726</v>
      </c>
      <c r="I177" t="str">
        <f>HYPERLINK("https://www.inaturalist.org/taxa/324726-Lycorma-delicatula", "View")</f>
        <v>View</v>
      </c>
      <c r="J177" t="s">
        <v>17</v>
      </c>
      <c r="K177" t="s">
        <v>21</v>
      </c>
      <c r="L177">
        <v>324726</v>
      </c>
      <c r="M177">
        <v>81.28</v>
      </c>
      <c r="N177">
        <v>99.93</v>
      </c>
      <c r="P177">
        <v>1</v>
      </c>
    </row>
    <row r="178" spans="1:16" x14ac:dyDescent="0.3">
      <c r="A178">
        <v>176</v>
      </c>
      <c r="B178" t="str">
        <f>HYPERLINK("https://imapinvasives.natureserve.org/imap/services/page/Presence/1157682.html", "View")</f>
        <v>View</v>
      </c>
      <c r="C178">
        <v>1157682</v>
      </c>
      <c r="D178">
        <v>1164734</v>
      </c>
      <c r="E178" t="str">
        <f>HYPERLINK("http://imap3images.s3-website-us-east-1.amazonaws.com/1164734/p/inat_photo_149889546.jpg", "View")</f>
        <v>View</v>
      </c>
      <c r="F178" t="s">
        <v>17</v>
      </c>
      <c r="G178" t="s">
        <v>18</v>
      </c>
      <c r="H178">
        <v>324726</v>
      </c>
      <c r="I178" t="str">
        <f>HYPERLINK("https://www.inaturalist.org/taxa/324726-Lycorma-delicatula", "View")</f>
        <v>View</v>
      </c>
      <c r="J178" t="s">
        <v>17</v>
      </c>
      <c r="K178" t="s">
        <v>21</v>
      </c>
      <c r="L178">
        <v>324726</v>
      </c>
      <c r="M178">
        <v>81.28</v>
      </c>
      <c r="N178">
        <v>99.9</v>
      </c>
      <c r="P178">
        <v>1</v>
      </c>
    </row>
    <row r="179" spans="1:16" x14ac:dyDescent="0.3">
      <c r="A179">
        <v>177</v>
      </c>
      <c r="B179" t="str">
        <f>HYPERLINK("https://imapinvasives.natureserve.org/imap/services/page/Presence/1293035.html", "View")</f>
        <v>View</v>
      </c>
      <c r="C179">
        <v>1293035</v>
      </c>
      <c r="D179">
        <v>1303240</v>
      </c>
      <c r="E179" t="str">
        <f>HYPERLINK("http://imap3images.s3-website-us-east-1.amazonaws.com/1303240/p/imap_app_photo_1663268089417.jpg", "View")</f>
        <v>View</v>
      </c>
      <c r="F179" t="s">
        <v>17</v>
      </c>
      <c r="G179" t="s">
        <v>18</v>
      </c>
      <c r="H179">
        <v>324726</v>
      </c>
      <c r="I179" t="str">
        <f>HYPERLINK("https://www.inaturalist.org/taxa/154213-Blatta-orientalis", "View")</f>
        <v>View</v>
      </c>
      <c r="J179" t="s">
        <v>56</v>
      </c>
      <c r="K179" t="s">
        <v>57</v>
      </c>
      <c r="L179">
        <v>154213</v>
      </c>
      <c r="M179">
        <v>27.39</v>
      </c>
      <c r="N179">
        <v>42.94</v>
      </c>
      <c r="P179">
        <v>0</v>
      </c>
    </row>
    <row r="180" spans="1:16" x14ac:dyDescent="0.3">
      <c r="A180">
        <v>178</v>
      </c>
      <c r="B180" t="str">
        <f>HYPERLINK("https://imapinvasives.natureserve.org/imap/services/page/Presence/1160156.html", "View")</f>
        <v>View</v>
      </c>
      <c r="C180">
        <v>1160156</v>
      </c>
      <c r="D180">
        <v>1167265</v>
      </c>
      <c r="E180" t="str">
        <f>HYPERLINK("http://imap3images.s3-website-us-east-1.amazonaws.com/1167265/p/inat_photo_153143354.jpg", "View")</f>
        <v>View</v>
      </c>
      <c r="F180" t="s">
        <v>17</v>
      </c>
      <c r="G180" t="s">
        <v>18</v>
      </c>
      <c r="H180">
        <v>324726</v>
      </c>
      <c r="I180" t="str">
        <f t="shared" ref="I180:I201" si="11">HYPERLINK("https://www.inaturalist.org/taxa/324726-Lycorma-delicatula", "View")</f>
        <v>View</v>
      </c>
      <c r="J180" t="s">
        <v>17</v>
      </c>
      <c r="K180" t="s">
        <v>21</v>
      </c>
      <c r="L180">
        <v>324726</v>
      </c>
      <c r="M180">
        <v>89.66</v>
      </c>
      <c r="N180">
        <v>99.74</v>
      </c>
      <c r="P180">
        <v>1</v>
      </c>
    </row>
    <row r="181" spans="1:16" x14ac:dyDescent="0.3">
      <c r="A181">
        <v>179</v>
      </c>
      <c r="B181" t="str">
        <f>HYPERLINK("https://imapinvasives.natureserve.org/imap/services/page/Presence/1063052.html", "View")</f>
        <v>View</v>
      </c>
      <c r="C181">
        <v>1063052</v>
      </c>
      <c r="D181">
        <v>1067722</v>
      </c>
      <c r="E181" t="str">
        <f>HYPERLINK("http://imap3images.s3-website-us-east-1.amazonaws.com/1067722/p/inat_photo_89965383.jpg", "View")</f>
        <v>View</v>
      </c>
      <c r="F181" t="s">
        <v>17</v>
      </c>
      <c r="G181" t="s">
        <v>18</v>
      </c>
      <c r="H181">
        <v>324726</v>
      </c>
      <c r="I181" t="str">
        <f t="shared" si="11"/>
        <v>View</v>
      </c>
      <c r="J181" t="s">
        <v>17</v>
      </c>
      <c r="K181" t="s">
        <v>21</v>
      </c>
      <c r="L181">
        <v>324726</v>
      </c>
      <c r="M181">
        <v>89.66</v>
      </c>
      <c r="N181">
        <v>99.93</v>
      </c>
      <c r="P181">
        <v>1</v>
      </c>
    </row>
    <row r="182" spans="1:16" x14ac:dyDescent="0.3">
      <c r="A182">
        <v>180</v>
      </c>
      <c r="B182" t="str">
        <f>HYPERLINK("https://imapinvasives.natureserve.org/imap/services/page/Presence/1160775.html", "View")</f>
        <v>View</v>
      </c>
      <c r="C182">
        <v>1160775</v>
      </c>
      <c r="D182">
        <v>1167914</v>
      </c>
      <c r="E182" t="str">
        <f>HYPERLINK("http://imap3images.s3-website-us-east-1.amazonaws.com/1167914/p/inat_photo_153924091.jpg", "View")</f>
        <v>View</v>
      </c>
      <c r="F182" t="s">
        <v>17</v>
      </c>
      <c r="G182" t="s">
        <v>18</v>
      </c>
      <c r="H182">
        <v>324726</v>
      </c>
      <c r="I182" t="str">
        <f t="shared" si="11"/>
        <v>View</v>
      </c>
      <c r="J182" t="s">
        <v>17</v>
      </c>
      <c r="K182" t="s">
        <v>21</v>
      </c>
      <c r="L182">
        <v>324726</v>
      </c>
      <c r="M182">
        <v>89.66</v>
      </c>
      <c r="N182">
        <v>99.76</v>
      </c>
      <c r="P182">
        <v>1</v>
      </c>
    </row>
    <row r="183" spans="1:16" x14ac:dyDescent="0.3">
      <c r="A183">
        <v>181</v>
      </c>
      <c r="B183" t="str">
        <f>HYPERLINK("https://imapinvasives.natureserve.org/imap/services/page/Presence/1285015.html", "View")</f>
        <v>View</v>
      </c>
      <c r="C183">
        <v>1285015</v>
      </c>
      <c r="D183">
        <v>1294596</v>
      </c>
      <c r="E183" t="str">
        <f>HYPERLINK("http://imap3images.s3-website-us-east-1.amazonaws.com/1294596/p/imap_app_photo_1659648673082.jpg", "View")</f>
        <v>View</v>
      </c>
      <c r="F183" t="s">
        <v>17</v>
      </c>
      <c r="G183" t="s">
        <v>18</v>
      </c>
      <c r="H183">
        <v>324726</v>
      </c>
      <c r="I183" t="str">
        <f t="shared" si="11"/>
        <v>View</v>
      </c>
      <c r="J183" t="s">
        <v>17</v>
      </c>
      <c r="K183" t="s">
        <v>21</v>
      </c>
      <c r="L183">
        <v>324726</v>
      </c>
      <c r="M183">
        <v>89.66</v>
      </c>
      <c r="N183">
        <v>99.43</v>
      </c>
      <c r="P183">
        <v>1</v>
      </c>
    </row>
    <row r="184" spans="1:16" x14ac:dyDescent="0.3">
      <c r="A184">
        <v>182</v>
      </c>
      <c r="B184" t="str">
        <f>HYPERLINK("https://imapinvasives.natureserve.org/imap/services/page/Presence/1156920.html", "View")</f>
        <v>View</v>
      </c>
      <c r="C184">
        <v>1156920</v>
      </c>
      <c r="D184">
        <v>1163956</v>
      </c>
      <c r="E184" t="str">
        <f>HYPERLINK("http://imap3images.s3-website-us-east-1.amazonaws.com/1163956/p/3C094D5F-CE9B-4CB7-AEC2-8DEF7D182A6C.jpeg", "View")</f>
        <v>View</v>
      </c>
      <c r="F184" t="s">
        <v>17</v>
      </c>
      <c r="G184" t="s">
        <v>18</v>
      </c>
      <c r="H184">
        <v>324726</v>
      </c>
      <c r="I184" t="str">
        <f t="shared" si="11"/>
        <v>View</v>
      </c>
      <c r="J184" t="s">
        <v>17</v>
      </c>
      <c r="K184" t="s">
        <v>21</v>
      </c>
      <c r="L184">
        <v>324726</v>
      </c>
      <c r="M184">
        <v>89.66</v>
      </c>
      <c r="N184">
        <v>62.03</v>
      </c>
      <c r="P184">
        <v>1</v>
      </c>
    </row>
    <row r="185" spans="1:16" x14ac:dyDescent="0.3">
      <c r="A185">
        <v>183</v>
      </c>
      <c r="B185" t="str">
        <f>HYPERLINK("https://imapinvasives.natureserve.org/imap/services/page/Presence/1163507.html", "View")</f>
        <v>View</v>
      </c>
      <c r="C185">
        <v>1163507</v>
      </c>
      <c r="D185">
        <v>1170697</v>
      </c>
      <c r="E185" t="str">
        <f>HYPERLINK("http://imap3images.s3-website-us-east-1.amazonaws.com/1170697/p/inat_photo_157267269.jpg", "View")</f>
        <v>View</v>
      </c>
      <c r="F185" t="s">
        <v>17</v>
      </c>
      <c r="G185" t="s">
        <v>18</v>
      </c>
      <c r="H185">
        <v>324726</v>
      </c>
      <c r="I185" t="str">
        <f t="shared" si="11"/>
        <v>View</v>
      </c>
      <c r="J185" t="s">
        <v>17</v>
      </c>
      <c r="K185" t="s">
        <v>21</v>
      </c>
      <c r="L185">
        <v>324726</v>
      </c>
      <c r="M185">
        <v>89.66</v>
      </c>
      <c r="N185">
        <v>99.87</v>
      </c>
      <c r="P185">
        <v>1</v>
      </c>
    </row>
    <row r="186" spans="1:16" x14ac:dyDescent="0.3">
      <c r="A186">
        <v>184</v>
      </c>
      <c r="B186" t="str">
        <f>HYPERLINK("https://imapinvasives.natureserve.org/imap/services/page/Presence/1160794.html", "View")</f>
        <v>View</v>
      </c>
      <c r="C186">
        <v>1160794</v>
      </c>
      <c r="D186">
        <v>1167933</v>
      </c>
      <c r="E186" t="str">
        <f>HYPERLINK("http://imap3images.s3-website-us-east-1.amazonaws.com/1167933/p/inat_photo_154134229.jpg", "View")</f>
        <v>View</v>
      </c>
      <c r="F186" t="s">
        <v>17</v>
      </c>
      <c r="G186" t="s">
        <v>18</v>
      </c>
      <c r="H186">
        <v>324726</v>
      </c>
      <c r="I186" t="str">
        <f t="shared" si="11"/>
        <v>View</v>
      </c>
      <c r="J186" t="s">
        <v>17</v>
      </c>
      <c r="K186" t="s">
        <v>21</v>
      </c>
      <c r="L186">
        <v>324726</v>
      </c>
      <c r="M186">
        <v>89.66</v>
      </c>
      <c r="N186">
        <v>93.13</v>
      </c>
      <c r="P186">
        <v>1</v>
      </c>
    </row>
    <row r="187" spans="1:16" x14ac:dyDescent="0.3">
      <c r="A187">
        <v>185</v>
      </c>
      <c r="B187" t="str">
        <f>HYPERLINK("https://imapinvasives.natureserve.org/imap/services/page/Presence/1272664.html", "View")</f>
        <v>View</v>
      </c>
      <c r="C187">
        <v>1272664</v>
      </c>
      <c r="D187">
        <v>1281716</v>
      </c>
      <c r="E187" t="str">
        <f>HYPERLINK("http://imap3images.s3-website-us-east-1.amazonaws.com/1281716/p/inat_photo_200026099.jpg", "View")</f>
        <v>View</v>
      </c>
      <c r="F187" t="s">
        <v>17</v>
      </c>
      <c r="G187" t="s">
        <v>18</v>
      </c>
      <c r="H187">
        <v>324726</v>
      </c>
      <c r="I187" t="str">
        <f t="shared" si="11"/>
        <v>View</v>
      </c>
      <c r="J187" t="s">
        <v>17</v>
      </c>
      <c r="K187" t="s">
        <v>21</v>
      </c>
      <c r="L187">
        <v>324726</v>
      </c>
      <c r="M187">
        <v>89.66</v>
      </c>
      <c r="N187">
        <v>98.55</v>
      </c>
      <c r="P187">
        <v>1</v>
      </c>
    </row>
    <row r="188" spans="1:16" x14ac:dyDescent="0.3">
      <c r="A188">
        <v>186</v>
      </c>
      <c r="B188" t="str">
        <f>HYPERLINK("https://imapinvasives.natureserve.org/imap/services/page/Presence/1160793.html", "View")</f>
        <v>View</v>
      </c>
      <c r="C188">
        <v>1160793</v>
      </c>
      <c r="D188">
        <v>1167932</v>
      </c>
      <c r="E188" t="str">
        <f>HYPERLINK("http://imap3images.s3-website-us-east-1.amazonaws.com/1167932/p/inat_photo_154134154.jpg", "View")</f>
        <v>View</v>
      </c>
      <c r="F188" t="s">
        <v>17</v>
      </c>
      <c r="G188" t="s">
        <v>18</v>
      </c>
      <c r="H188">
        <v>324726</v>
      </c>
      <c r="I188" t="str">
        <f t="shared" si="11"/>
        <v>View</v>
      </c>
      <c r="J188" t="s">
        <v>17</v>
      </c>
      <c r="K188" t="s">
        <v>21</v>
      </c>
      <c r="L188">
        <v>324726</v>
      </c>
      <c r="M188">
        <v>89.66</v>
      </c>
      <c r="N188">
        <v>99.51</v>
      </c>
      <c r="P188">
        <v>1</v>
      </c>
    </row>
    <row r="189" spans="1:16" x14ac:dyDescent="0.3">
      <c r="A189">
        <v>187</v>
      </c>
      <c r="B189" t="str">
        <f>HYPERLINK("https://imapinvasives.natureserve.org/imap/services/page/Presence/1151560.html", "View")</f>
        <v>View</v>
      </c>
      <c r="C189">
        <v>1151560</v>
      </c>
      <c r="D189">
        <v>1158450</v>
      </c>
      <c r="E189" t="str">
        <f>HYPERLINK("http://imap3images.s3-website-us-east-1.amazonaws.com/1158450/p/inat_photo_144726129.jpg", "View")</f>
        <v>View</v>
      </c>
      <c r="F189" t="s">
        <v>17</v>
      </c>
      <c r="G189" t="s">
        <v>18</v>
      </c>
      <c r="H189">
        <v>324726</v>
      </c>
      <c r="I189" t="str">
        <f t="shared" si="11"/>
        <v>View</v>
      </c>
      <c r="J189" t="s">
        <v>17</v>
      </c>
      <c r="K189" t="s">
        <v>21</v>
      </c>
      <c r="L189">
        <v>324726</v>
      </c>
      <c r="M189">
        <v>89.66</v>
      </c>
      <c r="N189">
        <v>63.93</v>
      </c>
      <c r="P189">
        <v>1</v>
      </c>
    </row>
    <row r="190" spans="1:16" x14ac:dyDescent="0.3">
      <c r="A190">
        <v>188</v>
      </c>
      <c r="B190" t="str">
        <f>HYPERLINK("https://imapinvasives.natureserve.org/imap/services/page/Presence/1355253.html", "View")</f>
        <v>View</v>
      </c>
      <c r="C190">
        <v>1355253</v>
      </c>
      <c r="D190">
        <v>1372885</v>
      </c>
      <c r="E190" t="str">
        <f>HYPERLINK("http://imap3images.s3-website-us-east-1.amazonaws.com/1372885/p/965B2DB5-76FD-4898-8C16-10B6820C791E.jpeg", "View")</f>
        <v>View</v>
      </c>
      <c r="F190" t="s">
        <v>17</v>
      </c>
      <c r="G190" t="s">
        <v>18</v>
      </c>
      <c r="H190">
        <v>324726</v>
      </c>
      <c r="I190" t="str">
        <f t="shared" si="11"/>
        <v>View</v>
      </c>
      <c r="J190" t="s">
        <v>17</v>
      </c>
      <c r="K190" t="s">
        <v>21</v>
      </c>
      <c r="L190">
        <v>324726</v>
      </c>
      <c r="M190">
        <v>89.66</v>
      </c>
      <c r="N190">
        <v>99.98</v>
      </c>
      <c r="P190">
        <v>1</v>
      </c>
    </row>
    <row r="191" spans="1:16" x14ac:dyDescent="0.3">
      <c r="A191">
        <v>189</v>
      </c>
      <c r="B191" t="str">
        <f>HYPERLINK("https://imapinvasives.natureserve.org/imap/services/page/Presence/1151626.html", "View")</f>
        <v>View</v>
      </c>
      <c r="C191">
        <v>1151626</v>
      </c>
      <c r="D191">
        <v>1158516</v>
      </c>
      <c r="E191" t="str">
        <f>HYPERLINK("http://imap3images.s3-website-us-east-1.amazonaws.com/1158516/p/20210719_101857.jpg", "View")</f>
        <v>View</v>
      </c>
      <c r="F191" t="s">
        <v>17</v>
      </c>
      <c r="G191" t="s">
        <v>18</v>
      </c>
      <c r="H191">
        <v>324726</v>
      </c>
      <c r="I191" t="str">
        <f t="shared" si="11"/>
        <v>View</v>
      </c>
      <c r="J191" t="s">
        <v>17</v>
      </c>
      <c r="K191" t="s">
        <v>21</v>
      </c>
      <c r="L191">
        <v>324726</v>
      </c>
      <c r="M191">
        <v>89.66</v>
      </c>
      <c r="N191">
        <v>99.98</v>
      </c>
      <c r="P191">
        <v>1</v>
      </c>
    </row>
    <row r="192" spans="1:16" x14ac:dyDescent="0.3">
      <c r="A192">
        <v>190</v>
      </c>
      <c r="B192" t="str">
        <f>HYPERLINK("https://imapinvasives.natureserve.org/imap/services/page/Presence/1139137.html", "View")</f>
        <v>View</v>
      </c>
      <c r="C192">
        <v>1139137</v>
      </c>
      <c r="D192">
        <v>1145630</v>
      </c>
      <c r="E192" t="str">
        <f>HYPERLINK("http://imap3images.s3-website-us-east-1.amazonaws.com/1145630/p/inat_photo_131497932.jpg", "View")</f>
        <v>View</v>
      </c>
      <c r="F192" t="s">
        <v>17</v>
      </c>
      <c r="G192" t="s">
        <v>18</v>
      </c>
      <c r="H192">
        <v>324726</v>
      </c>
      <c r="I192" t="str">
        <f t="shared" si="11"/>
        <v>View</v>
      </c>
      <c r="J192" t="s">
        <v>17</v>
      </c>
      <c r="K192" t="s">
        <v>21</v>
      </c>
      <c r="L192">
        <v>324726</v>
      </c>
      <c r="M192">
        <v>89.66</v>
      </c>
      <c r="N192">
        <v>99.93</v>
      </c>
      <c r="P192">
        <v>1</v>
      </c>
    </row>
    <row r="193" spans="1:16" x14ac:dyDescent="0.3">
      <c r="A193">
        <v>191</v>
      </c>
      <c r="B193" t="str">
        <f>HYPERLINK("https://imapinvasives.natureserve.org/imap/services/page/Presence/1163357.html", "View")</f>
        <v>View</v>
      </c>
      <c r="C193">
        <v>1163357</v>
      </c>
      <c r="D193">
        <v>1170545</v>
      </c>
      <c r="E193" t="str">
        <f>HYPERLINK("http://imap3images.s3-website-us-east-1.amazonaws.com/1170545/p/inat_photo_156976412.jpg", "View")</f>
        <v>View</v>
      </c>
      <c r="F193" t="s">
        <v>17</v>
      </c>
      <c r="G193" t="s">
        <v>18</v>
      </c>
      <c r="H193">
        <v>324726</v>
      </c>
      <c r="I193" t="str">
        <f t="shared" si="11"/>
        <v>View</v>
      </c>
      <c r="J193" t="s">
        <v>17</v>
      </c>
      <c r="K193" t="s">
        <v>21</v>
      </c>
      <c r="L193">
        <v>324726</v>
      </c>
      <c r="M193">
        <v>89.66</v>
      </c>
      <c r="N193">
        <v>99.88</v>
      </c>
      <c r="P193">
        <v>1</v>
      </c>
    </row>
    <row r="194" spans="1:16" x14ac:dyDescent="0.3">
      <c r="A194">
        <v>192</v>
      </c>
      <c r="B194" t="str">
        <f>HYPERLINK("https://imapinvasives.natureserve.org/imap/services/page/Presence/1160934.html", "View")</f>
        <v>View</v>
      </c>
      <c r="C194">
        <v>1160934</v>
      </c>
      <c r="D194">
        <v>1168075</v>
      </c>
      <c r="E194" t="str">
        <f>HYPERLINK("http://imap3images.s3-website-us-east-1.amazonaws.com/1168075/p/inat_photo_154407705.jpg", "View")</f>
        <v>View</v>
      </c>
      <c r="F194" t="s">
        <v>17</v>
      </c>
      <c r="G194" t="s">
        <v>18</v>
      </c>
      <c r="H194">
        <v>324726</v>
      </c>
      <c r="I194" t="str">
        <f t="shared" si="11"/>
        <v>View</v>
      </c>
      <c r="J194" t="s">
        <v>17</v>
      </c>
      <c r="K194" t="s">
        <v>21</v>
      </c>
      <c r="L194">
        <v>324726</v>
      </c>
      <c r="M194">
        <v>89.66</v>
      </c>
      <c r="N194">
        <v>99.87</v>
      </c>
      <c r="P194">
        <v>1</v>
      </c>
    </row>
    <row r="195" spans="1:16" x14ac:dyDescent="0.3">
      <c r="A195">
        <v>193</v>
      </c>
      <c r="B195" t="str">
        <f>HYPERLINK("https://imapinvasives.natureserve.org/imap/services/page/Presence/1160935.html", "View")</f>
        <v>View</v>
      </c>
      <c r="C195">
        <v>1160935</v>
      </c>
      <c r="D195">
        <v>1168076</v>
      </c>
      <c r="E195" t="str">
        <f>HYPERLINK("http://imap3images.s3-website-us-east-1.amazonaws.com/1168076/p/inat_photo_154407944.jpg", "View")</f>
        <v>View</v>
      </c>
      <c r="F195" t="s">
        <v>17</v>
      </c>
      <c r="G195" t="s">
        <v>18</v>
      </c>
      <c r="H195">
        <v>324726</v>
      </c>
      <c r="I195" t="str">
        <f t="shared" si="11"/>
        <v>View</v>
      </c>
      <c r="J195" t="s">
        <v>17</v>
      </c>
      <c r="K195" t="s">
        <v>21</v>
      </c>
      <c r="L195">
        <v>324726</v>
      </c>
      <c r="M195">
        <v>89.66</v>
      </c>
      <c r="N195">
        <v>99.68</v>
      </c>
      <c r="P195">
        <v>1</v>
      </c>
    </row>
    <row r="196" spans="1:16" x14ac:dyDescent="0.3">
      <c r="A196">
        <v>194</v>
      </c>
      <c r="B196" t="str">
        <f>HYPERLINK("https://imapinvasives.natureserve.org/imap/services/page/Presence/1164094.html", "View")</f>
        <v>View</v>
      </c>
      <c r="C196">
        <v>1164094</v>
      </c>
      <c r="D196">
        <v>1171325</v>
      </c>
      <c r="E196" t="str">
        <f>HYPERLINK("http://imap3images.s3-website-us-east-1.amazonaws.com/1171325/p/inat_photo_158295970.jpg", "View")</f>
        <v>View</v>
      </c>
      <c r="F196" t="s">
        <v>17</v>
      </c>
      <c r="G196" t="s">
        <v>18</v>
      </c>
      <c r="H196">
        <v>324726</v>
      </c>
      <c r="I196" t="str">
        <f t="shared" si="11"/>
        <v>View</v>
      </c>
      <c r="J196" t="s">
        <v>17</v>
      </c>
      <c r="K196" t="s">
        <v>21</v>
      </c>
      <c r="L196">
        <v>324726</v>
      </c>
      <c r="M196">
        <v>89.66</v>
      </c>
      <c r="N196">
        <v>99.86</v>
      </c>
      <c r="P196">
        <v>1</v>
      </c>
    </row>
    <row r="197" spans="1:16" x14ac:dyDescent="0.3">
      <c r="A197">
        <v>195</v>
      </c>
      <c r="B197" t="str">
        <f>HYPERLINK("https://imapinvasives.natureserve.org/imap/services/page/Presence/1159038.html", "View")</f>
        <v>View</v>
      </c>
      <c r="C197">
        <v>1159038</v>
      </c>
      <c r="D197">
        <v>1166114</v>
      </c>
      <c r="E197" t="str">
        <f>HYPERLINK("http://imap3images.s3-website-us-east-1.amazonaws.com/1166114/p/inat_photo_150352968.jpg", "View")</f>
        <v>View</v>
      </c>
      <c r="F197" t="s">
        <v>17</v>
      </c>
      <c r="G197" t="s">
        <v>18</v>
      </c>
      <c r="H197">
        <v>324726</v>
      </c>
      <c r="I197" t="str">
        <f t="shared" si="11"/>
        <v>View</v>
      </c>
      <c r="J197" t="s">
        <v>17</v>
      </c>
      <c r="K197" t="s">
        <v>21</v>
      </c>
      <c r="L197">
        <v>324726</v>
      </c>
      <c r="M197">
        <v>89.66</v>
      </c>
      <c r="N197">
        <v>99.69</v>
      </c>
      <c r="P197">
        <v>1</v>
      </c>
    </row>
    <row r="198" spans="1:16" x14ac:dyDescent="0.3">
      <c r="A198">
        <v>196</v>
      </c>
      <c r="B198" t="str">
        <f>HYPERLINK("https://imapinvasives.natureserve.org/imap/services/page/Presence/1063250.html", "View")</f>
        <v>View</v>
      </c>
      <c r="C198">
        <v>1063250</v>
      </c>
      <c r="D198">
        <v>1067937</v>
      </c>
      <c r="E198" t="str">
        <f>HYPERLINK("http://imap3images.s3-website-us-east-1.amazonaws.com/1067937/p/inat_photo_90012032.jpg", "View")</f>
        <v>View</v>
      </c>
      <c r="F198" t="s">
        <v>17</v>
      </c>
      <c r="G198" t="s">
        <v>18</v>
      </c>
      <c r="H198">
        <v>324726</v>
      </c>
      <c r="I198" t="str">
        <f t="shared" si="11"/>
        <v>View</v>
      </c>
      <c r="J198" t="s">
        <v>17</v>
      </c>
      <c r="K198" t="s">
        <v>21</v>
      </c>
      <c r="L198">
        <v>324726</v>
      </c>
      <c r="M198">
        <v>89.66</v>
      </c>
      <c r="N198">
        <v>89.72</v>
      </c>
      <c r="P198">
        <v>1</v>
      </c>
    </row>
    <row r="199" spans="1:16" x14ac:dyDescent="0.3">
      <c r="A199">
        <v>197</v>
      </c>
      <c r="B199" t="str">
        <f>HYPERLINK("https://imapinvasives.natureserve.org/imap/services/page/Presence/1153006.html", "View")</f>
        <v>View</v>
      </c>
      <c r="C199">
        <v>1153006</v>
      </c>
      <c r="D199">
        <v>1159963</v>
      </c>
      <c r="E199" t="str">
        <f>HYPERLINK("http://imap3images.s3-website-us-east-1.amazonaws.com/1159963/p/inat_photo_145693279.jpg", "View")</f>
        <v>View</v>
      </c>
      <c r="F199" t="s">
        <v>17</v>
      </c>
      <c r="G199" t="s">
        <v>18</v>
      </c>
      <c r="H199">
        <v>324726</v>
      </c>
      <c r="I199" t="str">
        <f t="shared" si="11"/>
        <v>View</v>
      </c>
      <c r="J199" t="s">
        <v>17</v>
      </c>
      <c r="K199" t="s">
        <v>21</v>
      </c>
      <c r="L199">
        <v>324726</v>
      </c>
      <c r="M199">
        <v>89.66</v>
      </c>
      <c r="N199">
        <v>98.64</v>
      </c>
      <c r="P199">
        <v>1</v>
      </c>
    </row>
    <row r="200" spans="1:16" x14ac:dyDescent="0.3">
      <c r="A200">
        <v>198</v>
      </c>
      <c r="B200" t="str">
        <f>HYPERLINK("https://imapinvasives.natureserve.org/imap/services/page/Presence/1149736.html", "View")</f>
        <v>View</v>
      </c>
      <c r="C200">
        <v>1149736</v>
      </c>
      <c r="D200">
        <v>1156561</v>
      </c>
      <c r="E200" t="str">
        <f>HYPERLINK("http://imap3images.s3-website-us-east-1.amazonaws.com/1156561/p/inat_photo_141695178.jpg", "View")</f>
        <v>View</v>
      </c>
      <c r="F200" t="s">
        <v>17</v>
      </c>
      <c r="G200" t="s">
        <v>18</v>
      </c>
      <c r="H200">
        <v>324726</v>
      </c>
      <c r="I200" t="str">
        <f t="shared" si="11"/>
        <v>View</v>
      </c>
      <c r="J200" t="s">
        <v>17</v>
      </c>
      <c r="K200" t="s">
        <v>21</v>
      </c>
      <c r="L200">
        <v>324726</v>
      </c>
      <c r="M200">
        <v>89.66</v>
      </c>
      <c r="N200">
        <v>99.36</v>
      </c>
      <c r="P200">
        <v>1</v>
      </c>
    </row>
    <row r="201" spans="1:16" x14ac:dyDescent="0.3">
      <c r="A201">
        <v>199</v>
      </c>
      <c r="B201" t="str">
        <f>HYPERLINK("https://imapinvasives.natureserve.org/imap/services/page/Presence/1163490.html", "View")</f>
        <v>View</v>
      </c>
      <c r="C201">
        <v>1163490</v>
      </c>
      <c r="D201">
        <v>1170680</v>
      </c>
      <c r="E201" t="str">
        <f>HYPERLINK("http://imap3images.s3-website-us-east-1.amazonaws.com/1170680/p/inat_photo_157157994.jpg", "View")</f>
        <v>View</v>
      </c>
      <c r="F201" t="s">
        <v>17</v>
      </c>
      <c r="G201" t="s">
        <v>18</v>
      </c>
      <c r="H201">
        <v>324726</v>
      </c>
      <c r="I201" t="str">
        <f t="shared" si="11"/>
        <v>View</v>
      </c>
      <c r="J201" t="s">
        <v>17</v>
      </c>
      <c r="K201" t="s">
        <v>21</v>
      </c>
      <c r="L201">
        <v>324726</v>
      </c>
      <c r="M201">
        <v>89.66</v>
      </c>
      <c r="N201">
        <v>99.89</v>
      </c>
      <c r="P201">
        <v>1</v>
      </c>
    </row>
    <row r="202" spans="1:16" x14ac:dyDescent="0.3">
      <c r="A202">
        <v>200</v>
      </c>
      <c r="B202" t="str">
        <f>HYPERLINK("https://imapinvasives.natureserve.org/imap/services/page/Presence/1355264.html", "View")</f>
        <v>View</v>
      </c>
      <c r="C202">
        <v>1355264</v>
      </c>
      <c r="D202">
        <v>1372896</v>
      </c>
      <c r="E202" t="s">
        <v>58</v>
      </c>
      <c r="F202" t="s">
        <v>17</v>
      </c>
      <c r="G202" t="s">
        <v>18</v>
      </c>
      <c r="H202">
        <v>324726</v>
      </c>
      <c r="I202" t="s">
        <v>31</v>
      </c>
      <c r="J202" t="s">
        <v>31</v>
      </c>
      <c r="K202" t="s">
        <v>31</v>
      </c>
      <c r="L202" t="s">
        <v>31</v>
      </c>
      <c r="M202" t="s">
        <v>31</v>
      </c>
      <c r="N202" t="s">
        <v>31</v>
      </c>
      <c r="P202">
        <v>0</v>
      </c>
    </row>
    <row r="203" spans="1:16" x14ac:dyDescent="0.3">
      <c r="A203">
        <v>201</v>
      </c>
      <c r="B203" t="str">
        <f>HYPERLINK("https://imapinvasives.natureserve.org/imap/services/page/Presence/1273389.html", "View")</f>
        <v>View</v>
      </c>
      <c r="C203">
        <v>1273389</v>
      </c>
      <c r="D203">
        <v>1282525</v>
      </c>
      <c r="E203" t="str">
        <f>HYPERLINK("http://imap3images.s3-website-us-east-1.amazonaws.com/1282525/p/inat_photo_202189258.jpg", "View")</f>
        <v>View</v>
      </c>
      <c r="F203" t="s">
        <v>17</v>
      </c>
      <c r="G203" t="s">
        <v>18</v>
      </c>
      <c r="H203">
        <v>324726</v>
      </c>
      <c r="I203" t="str">
        <f>HYPERLINK("https://www.inaturalist.org/taxa/324726-Lycorma-delicatula", "View")</f>
        <v>View</v>
      </c>
      <c r="J203" t="s">
        <v>17</v>
      </c>
      <c r="K203" t="s">
        <v>21</v>
      </c>
      <c r="L203">
        <v>324726</v>
      </c>
      <c r="M203">
        <v>89.66</v>
      </c>
      <c r="N203">
        <v>99.86</v>
      </c>
      <c r="P203">
        <v>1</v>
      </c>
    </row>
    <row r="204" spans="1:16" x14ac:dyDescent="0.3">
      <c r="A204">
        <v>202</v>
      </c>
      <c r="B204" t="str">
        <f>HYPERLINK("https://imapinvasives.natureserve.org/imap/services/page/Presence/1160751.html", "View")</f>
        <v>View</v>
      </c>
      <c r="C204">
        <v>1160751</v>
      </c>
      <c r="D204">
        <v>1167890</v>
      </c>
      <c r="E204" t="str">
        <f>HYPERLINK("http://imap3images.s3-website-us-east-1.amazonaws.com/1167890/p/inat_photo_153541636.jpg", "View")</f>
        <v>View</v>
      </c>
      <c r="F204" t="s">
        <v>17</v>
      </c>
      <c r="G204" t="s">
        <v>18</v>
      </c>
      <c r="H204">
        <v>324726</v>
      </c>
      <c r="I204" t="str">
        <f>HYPERLINK("https://www.inaturalist.org/taxa/324726-Lycorma-delicatula", "View")</f>
        <v>View</v>
      </c>
      <c r="J204" t="s">
        <v>17</v>
      </c>
      <c r="K204" t="s">
        <v>21</v>
      </c>
      <c r="L204">
        <v>324726</v>
      </c>
      <c r="M204">
        <v>89.66</v>
      </c>
      <c r="N204">
        <v>99.95</v>
      </c>
      <c r="P204">
        <v>1</v>
      </c>
    </row>
    <row r="205" spans="1:16" x14ac:dyDescent="0.3">
      <c r="A205">
        <v>203</v>
      </c>
      <c r="B205" t="str">
        <f>HYPERLINK("https://imapinvasives.natureserve.org/imap/services/page/Presence/1296953.html", "View")</f>
        <v>View</v>
      </c>
      <c r="C205">
        <v>1296953</v>
      </c>
      <c r="D205">
        <v>1307183</v>
      </c>
      <c r="E205" t="str">
        <f>HYPERLINK("http://imap3images.s3-website-us-east-1.amazonaws.com/1307183/p/inat_photo_231781809.jpg", "View")</f>
        <v>View</v>
      </c>
      <c r="F205" t="s">
        <v>17</v>
      </c>
      <c r="G205" t="s">
        <v>18</v>
      </c>
      <c r="H205">
        <v>324726</v>
      </c>
      <c r="I205" t="str">
        <f>HYPERLINK("https://www.inaturalist.org/taxa/324726-Lycorma-delicatula", "View")</f>
        <v>View</v>
      </c>
      <c r="J205" t="s">
        <v>17</v>
      </c>
      <c r="K205" t="s">
        <v>21</v>
      </c>
      <c r="L205">
        <v>324726</v>
      </c>
      <c r="M205">
        <v>64.569999999999993</v>
      </c>
      <c r="N205">
        <v>99.83</v>
      </c>
      <c r="P205">
        <v>1</v>
      </c>
    </row>
    <row r="206" spans="1:16" x14ac:dyDescent="0.3">
      <c r="A206">
        <v>204</v>
      </c>
      <c r="B206" t="str">
        <f>HYPERLINK("https://imapinvasives.natureserve.org/imap/services/page/Presence/1153621.html", "View")</f>
        <v>View</v>
      </c>
      <c r="C206">
        <v>1153621</v>
      </c>
      <c r="D206">
        <v>1160606</v>
      </c>
      <c r="E206" t="str">
        <f>HYPERLINK("http://imap3images.s3-website-us-east-1.amazonaws.com/1160606/p/inat_photo_146879864.jpg", "View")</f>
        <v>View</v>
      </c>
      <c r="F206" t="s">
        <v>17</v>
      </c>
      <c r="G206" t="s">
        <v>18</v>
      </c>
      <c r="H206">
        <v>324726</v>
      </c>
      <c r="I206" t="str">
        <f>HYPERLINK("https://www.inaturalist.org/taxa/324726-Lycorma-delicatula", "View")</f>
        <v>View</v>
      </c>
      <c r="J206" t="s">
        <v>17</v>
      </c>
      <c r="K206" t="s">
        <v>21</v>
      </c>
      <c r="L206">
        <v>324726</v>
      </c>
      <c r="M206">
        <v>64.569999999999993</v>
      </c>
      <c r="N206">
        <v>43.22</v>
      </c>
      <c r="P206">
        <v>1</v>
      </c>
    </row>
    <row r="207" spans="1:16" x14ac:dyDescent="0.3">
      <c r="A207">
        <v>205</v>
      </c>
      <c r="B207" t="str">
        <f>HYPERLINK("https://imapinvasives.natureserve.org/imap/services/page/Presence/1132360.html", "View")</f>
        <v>View</v>
      </c>
      <c r="C207">
        <v>1132360</v>
      </c>
      <c r="D207">
        <v>1138753</v>
      </c>
      <c r="E207" t="str">
        <f>HYPERLINK("http://imap3images.s3-website-us-east-1.amazonaws.com/1138753/p/imap_app_photo_1619388095569.jpg", "View")</f>
        <v>View</v>
      </c>
      <c r="F207" t="s">
        <v>17</v>
      </c>
      <c r="G207" t="s">
        <v>18</v>
      </c>
      <c r="H207">
        <v>324726</v>
      </c>
      <c r="I207" t="str">
        <f>HYPERLINK("https://www.inaturalist.org/taxa/352268-Rosellinia-subiculata", "View")</f>
        <v>View</v>
      </c>
      <c r="J207" t="s">
        <v>59</v>
      </c>
      <c r="K207" t="s">
        <v>31</v>
      </c>
      <c r="L207">
        <v>352268</v>
      </c>
      <c r="M207">
        <v>5.8</v>
      </c>
      <c r="N207">
        <v>43.44</v>
      </c>
      <c r="P207">
        <v>0</v>
      </c>
    </row>
    <row r="208" spans="1:16" x14ac:dyDescent="0.3">
      <c r="A208">
        <v>206</v>
      </c>
      <c r="B208" t="str">
        <f>HYPERLINK("https://imapinvasives.natureserve.org/imap/services/page/Presence/1341043.html", "View")</f>
        <v>View</v>
      </c>
      <c r="C208">
        <v>1341043</v>
      </c>
      <c r="D208">
        <v>1356262</v>
      </c>
      <c r="E208" t="str">
        <f>HYPERLINK("http://imap3images.s3-website-us-east-1.amazonaws.com/1356262/p/inat_photo_296902615.jpg", "View")</f>
        <v>View</v>
      </c>
      <c r="F208" t="s">
        <v>17</v>
      </c>
      <c r="G208" t="s">
        <v>18</v>
      </c>
      <c r="H208">
        <v>324726</v>
      </c>
      <c r="I208" t="str">
        <f>HYPERLINK("https://www.inaturalist.org/taxa/324726-Lycorma-delicatula", "View")</f>
        <v>View</v>
      </c>
      <c r="J208" t="s">
        <v>17</v>
      </c>
      <c r="K208" t="s">
        <v>21</v>
      </c>
      <c r="L208">
        <v>324726</v>
      </c>
      <c r="M208">
        <v>83.23</v>
      </c>
      <c r="N208">
        <v>94.49</v>
      </c>
      <c r="P208">
        <v>1</v>
      </c>
    </row>
    <row r="209" spans="1:16" x14ac:dyDescent="0.3">
      <c r="A209">
        <v>207</v>
      </c>
      <c r="B209" t="str">
        <f>HYPERLINK("https://imapinvasives.natureserve.org/imap/services/page/Presence/1306694.html", "View")</f>
        <v>View</v>
      </c>
      <c r="C209">
        <v>1306694</v>
      </c>
      <c r="D209">
        <v>1317168</v>
      </c>
      <c r="E209" t="str">
        <f>HYPERLINK("http://imap3images.s3-website-us-east-1.amazonaws.com/1317168/p/DSCN9505.JPG", "View")</f>
        <v>View</v>
      </c>
      <c r="F209" t="s">
        <v>17</v>
      </c>
      <c r="G209" t="s">
        <v>18</v>
      </c>
      <c r="H209">
        <v>324726</v>
      </c>
      <c r="I209" t="str">
        <f>HYPERLINK("https://www.inaturalist.org/taxa/324726-Lycorma-delicatula", "View")</f>
        <v>View</v>
      </c>
      <c r="J209" t="s">
        <v>17</v>
      </c>
      <c r="K209" t="s">
        <v>21</v>
      </c>
      <c r="L209">
        <v>324726</v>
      </c>
      <c r="M209">
        <v>64.569999999999993</v>
      </c>
      <c r="N209">
        <v>99.94</v>
      </c>
      <c r="P209">
        <v>1</v>
      </c>
    </row>
    <row r="210" spans="1:16" x14ac:dyDescent="0.3">
      <c r="A210">
        <v>208</v>
      </c>
      <c r="B210" t="str">
        <f>HYPERLINK("https://imapinvasives.natureserve.org/imap/services/page/Presence/1291782.html", "View")</f>
        <v>View</v>
      </c>
      <c r="C210">
        <v>1291782</v>
      </c>
      <c r="D210">
        <v>1301986</v>
      </c>
      <c r="E210" t="str">
        <f>HYPERLINK("http://imap3images.s3-website-us-east-1.amazonaws.com/1301986/p/inat_photo_229480548.jpg", "View")</f>
        <v>View</v>
      </c>
      <c r="F210" t="s">
        <v>17</v>
      </c>
      <c r="G210" t="s">
        <v>18</v>
      </c>
      <c r="H210">
        <v>324726</v>
      </c>
      <c r="I210" t="str">
        <f>HYPERLINK("https://www.inaturalist.org/taxa/324726-Lycorma-delicatula", "View")</f>
        <v>View</v>
      </c>
      <c r="J210" t="s">
        <v>17</v>
      </c>
      <c r="K210" t="s">
        <v>21</v>
      </c>
      <c r="L210">
        <v>324726</v>
      </c>
      <c r="M210">
        <v>64.569999999999993</v>
      </c>
      <c r="N210">
        <v>99.87</v>
      </c>
      <c r="P210">
        <v>1</v>
      </c>
    </row>
    <row r="211" spans="1:16" x14ac:dyDescent="0.3">
      <c r="A211">
        <v>209</v>
      </c>
      <c r="B211" t="str">
        <f>HYPERLINK("https://imapinvasives.natureserve.org/imap/services/page/Presence/1408046.html", "View")</f>
        <v>View</v>
      </c>
      <c r="C211">
        <v>1408046</v>
      </c>
      <c r="D211">
        <v>1420438</v>
      </c>
      <c r="E211" t="str">
        <f>HYPERLINK("http://imap3images.s3-website-us-east-1.amazonaws.com/1420438/p/imap_app_photo_1716048718533.jpg", "View")</f>
        <v>View</v>
      </c>
      <c r="F211" t="s">
        <v>17</v>
      </c>
      <c r="G211" t="s">
        <v>18</v>
      </c>
      <c r="H211">
        <v>324726</v>
      </c>
      <c r="I211" t="str">
        <f>HYPERLINK("https://www.inaturalist.org/taxa/324726-Lycorma-delicatula", "View")</f>
        <v>View</v>
      </c>
      <c r="J211" t="s">
        <v>17</v>
      </c>
      <c r="K211" t="s">
        <v>21</v>
      </c>
      <c r="L211">
        <v>324726</v>
      </c>
      <c r="M211">
        <v>64.569999999999993</v>
      </c>
      <c r="N211">
        <v>99.56</v>
      </c>
      <c r="P211">
        <v>1</v>
      </c>
    </row>
    <row r="212" spans="1:16" x14ac:dyDescent="0.3">
      <c r="A212">
        <v>210</v>
      </c>
      <c r="B212" t="str">
        <f>HYPERLINK("https://imapinvasives.natureserve.org/imap/services/page/Presence/1138177.html", "View")</f>
        <v>View</v>
      </c>
      <c r="C212">
        <v>1138177</v>
      </c>
      <c r="D212">
        <v>1144596</v>
      </c>
      <c r="E212" t="str">
        <f>HYPERLINK("http://imap3images.s3-website-us-east-1.amazonaws.com/1144596/p/imap_app_photo_1621427525818.jpg", "View")</f>
        <v>View</v>
      </c>
      <c r="F212" t="s">
        <v>17</v>
      </c>
      <c r="G212" t="s">
        <v>18</v>
      </c>
      <c r="H212">
        <v>324726</v>
      </c>
      <c r="I212" t="str">
        <f>HYPERLINK("https://www.inaturalist.org/taxa/324726-Lycorma-delicatula", "View")</f>
        <v>View</v>
      </c>
      <c r="J212" t="s">
        <v>17</v>
      </c>
      <c r="K212" t="s">
        <v>21</v>
      </c>
      <c r="L212">
        <v>324726</v>
      </c>
      <c r="M212">
        <v>64.569999999999993</v>
      </c>
      <c r="N212">
        <v>40.700000000000003</v>
      </c>
      <c r="P212">
        <v>1</v>
      </c>
    </row>
    <row r="213" spans="1:16" x14ac:dyDescent="0.3">
      <c r="A213">
        <v>211</v>
      </c>
      <c r="B213" t="str">
        <f>HYPERLINK("https://imapinvasives.natureserve.org/imap/services/page/Presence/1160519.html", "View")</f>
        <v>View</v>
      </c>
      <c r="C213">
        <v>1160519</v>
      </c>
      <c r="D213">
        <v>1167639</v>
      </c>
      <c r="E213" t="str">
        <f>HYPERLINK("http://imap3images.s3-website-us-east-1.amazonaws.com/1167639/p/imap_app_photo_1630285411787.jpg", "View")</f>
        <v>View</v>
      </c>
      <c r="F213" t="s">
        <v>17</v>
      </c>
      <c r="G213" t="s">
        <v>18</v>
      </c>
      <c r="H213">
        <v>324726</v>
      </c>
      <c r="I213" t="str">
        <f>HYPERLINK("https://www.inaturalist.org/taxa/57278-Ailanthus-altissima", "View")</f>
        <v>View</v>
      </c>
      <c r="J213" t="s">
        <v>28</v>
      </c>
      <c r="K213" t="s">
        <v>60</v>
      </c>
      <c r="L213">
        <v>57278</v>
      </c>
      <c r="M213">
        <v>62.54</v>
      </c>
      <c r="N213">
        <v>91.52</v>
      </c>
      <c r="P213">
        <v>0</v>
      </c>
    </row>
    <row r="214" spans="1:16" x14ac:dyDescent="0.3">
      <c r="A214">
        <v>212</v>
      </c>
      <c r="B214" t="str">
        <f>HYPERLINK("https://imapinvasives.natureserve.org/imap/services/page/Presence/1074488.html", "View")</f>
        <v>View</v>
      </c>
      <c r="C214">
        <v>1074488</v>
      </c>
      <c r="D214">
        <v>1079833</v>
      </c>
      <c r="E214" t="s">
        <v>58</v>
      </c>
      <c r="F214" t="s">
        <v>17</v>
      </c>
      <c r="G214" t="s">
        <v>18</v>
      </c>
      <c r="H214">
        <v>324726</v>
      </c>
      <c r="I214" t="s">
        <v>31</v>
      </c>
      <c r="J214" t="s">
        <v>31</v>
      </c>
      <c r="K214" t="s">
        <v>31</v>
      </c>
      <c r="L214" t="s">
        <v>31</v>
      </c>
      <c r="M214" t="s">
        <v>31</v>
      </c>
      <c r="N214" t="s">
        <v>31</v>
      </c>
      <c r="P214">
        <v>0</v>
      </c>
    </row>
    <row r="215" spans="1:16" x14ac:dyDescent="0.3">
      <c r="A215">
        <v>213</v>
      </c>
      <c r="B215" t="str">
        <f>HYPERLINK("https://imapinvasives.natureserve.org/imap/services/page/Presence/1331942.html", "View")</f>
        <v>View</v>
      </c>
      <c r="C215">
        <v>1331942</v>
      </c>
      <c r="D215">
        <v>1345543</v>
      </c>
      <c r="E215" t="str">
        <f>HYPERLINK("http://imap3images.s3-website-us-east-1.amazonaws.com/1345543/p/inat_photo_280728873.jpg", "View")</f>
        <v>View</v>
      </c>
      <c r="F215" t="s">
        <v>17</v>
      </c>
      <c r="G215" t="s">
        <v>18</v>
      </c>
      <c r="H215">
        <v>324726</v>
      </c>
      <c r="I215" t="str">
        <f>HYPERLINK("https://www.inaturalist.org/taxa/324726-Lycorma-delicatula", "View")</f>
        <v>View</v>
      </c>
      <c r="J215" t="s">
        <v>17</v>
      </c>
      <c r="K215" t="s">
        <v>21</v>
      </c>
      <c r="L215">
        <v>324726</v>
      </c>
      <c r="M215">
        <v>64.569999999999993</v>
      </c>
      <c r="N215">
        <v>38.869999999999997</v>
      </c>
      <c r="P215">
        <v>1</v>
      </c>
    </row>
    <row r="216" spans="1:16" x14ac:dyDescent="0.3">
      <c r="A216">
        <v>214</v>
      </c>
      <c r="B216" t="str">
        <f>HYPERLINK("https://imapinvasives.natureserve.org/imap/services/page/Presence/1341046.html", "View")</f>
        <v>View</v>
      </c>
      <c r="C216">
        <v>1341046</v>
      </c>
      <c r="D216">
        <v>1356265</v>
      </c>
      <c r="E216" t="str">
        <f>HYPERLINK("http://imap3images.s3-website-us-east-1.amazonaws.com/1356265/p/inat_photo_297365883.jpg", "View")</f>
        <v>View</v>
      </c>
      <c r="F216" t="s">
        <v>17</v>
      </c>
      <c r="G216" t="s">
        <v>18</v>
      </c>
      <c r="H216">
        <v>324726</v>
      </c>
      <c r="I216" t="str">
        <f>HYPERLINK("https://www.inaturalist.org/taxa/324726-Lycorma-delicatula", "View")</f>
        <v>View</v>
      </c>
      <c r="J216" t="s">
        <v>17</v>
      </c>
      <c r="K216" t="s">
        <v>21</v>
      </c>
      <c r="L216">
        <v>324726</v>
      </c>
      <c r="M216">
        <v>64.569999999999993</v>
      </c>
      <c r="N216">
        <v>99.98</v>
      </c>
      <c r="P216">
        <v>1</v>
      </c>
    </row>
    <row r="217" spans="1:16" x14ac:dyDescent="0.3">
      <c r="A217">
        <v>215</v>
      </c>
      <c r="B217" t="str">
        <f>HYPERLINK("https://imapinvasives.natureserve.org/imap/services/page/Presence/1345683.html", "View")</f>
        <v>View</v>
      </c>
      <c r="C217">
        <v>1345683</v>
      </c>
      <c r="D217">
        <v>1361920</v>
      </c>
      <c r="E217" t="str">
        <f>HYPERLINK("http://imap3images.s3-website-us-east-1.amazonaws.com/1361920/p/inat_photo_308416489.jpg", "View")</f>
        <v>View</v>
      </c>
      <c r="F217" t="s">
        <v>17</v>
      </c>
      <c r="G217" t="s">
        <v>18</v>
      </c>
      <c r="H217">
        <v>324726</v>
      </c>
      <c r="I217" t="str">
        <f>HYPERLINK("https://www.inaturalist.org/taxa/324726-Lycorma-delicatula", "View")</f>
        <v>View</v>
      </c>
      <c r="J217" t="s">
        <v>17</v>
      </c>
      <c r="K217" t="s">
        <v>21</v>
      </c>
      <c r="L217">
        <v>324726</v>
      </c>
      <c r="M217">
        <v>64.569999999999993</v>
      </c>
      <c r="N217">
        <v>99.73</v>
      </c>
      <c r="P217">
        <v>1</v>
      </c>
    </row>
    <row r="218" spans="1:16" x14ac:dyDescent="0.3">
      <c r="A218">
        <v>216</v>
      </c>
      <c r="B218" t="str">
        <f>HYPERLINK("https://imapinvasives.natureserve.org/imap/services/page/Presence/1132370.html", "View")</f>
        <v>View</v>
      </c>
      <c r="C218">
        <v>1132370</v>
      </c>
      <c r="D218">
        <v>1138763</v>
      </c>
      <c r="E218" t="str">
        <f>HYPERLINK("http://imap3images.s3-website-us-east-1.amazonaws.com/1138763/p/imap_app_photo_1619388176197.jpg", "View")</f>
        <v>View</v>
      </c>
      <c r="F218" t="s">
        <v>17</v>
      </c>
      <c r="G218" t="s">
        <v>18</v>
      </c>
      <c r="H218">
        <v>324726</v>
      </c>
      <c r="I218" t="str">
        <f>HYPERLINK("https://www.inaturalist.org/taxa/1019876-Lyomyces-sambuci", "View")</f>
        <v>View</v>
      </c>
      <c r="J218" t="s">
        <v>61</v>
      </c>
      <c r="K218" t="s">
        <v>62</v>
      </c>
      <c r="L218">
        <v>1019876</v>
      </c>
      <c r="M218">
        <v>7.0000000000000007E-2</v>
      </c>
      <c r="N218">
        <v>35.880000000000003</v>
      </c>
      <c r="P218">
        <v>0</v>
      </c>
    </row>
    <row r="219" spans="1:16" x14ac:dyDescent="0.3">
      <c r="A219">
        <v>217</v>
      </c>
      <c r="B219" t="str">
        <f>HYPERLINK("https://imapinvasives.natureserve.org/imap/services/page/Presence/1132322.html", "View")</f>
        <v>View</v>
      </c>
      <c r="C219">
        <v>1132322</v>
      </c>
      <c r="D219">
        <v>1138714</v>
      </c>
      <c r="E219" t="str">
        <f>HYPERLINK("http://imap3images.s3-website-us-east-1.amazonaws.com/1138714/p/imap_app_photo_1619278361129.jpg", "View")</f>
        <v>View</v>
      </c>
      <c r="F219" t="s">
        <v>17</v>
      </c>
      <c r="G219" t="s">
        <v>18</v>
      </c>
      <c r="H219">
        <v>324726</v>
      </c>
      <c r="I219" t="str">
        <f>HYPERLINK("https://www.inaturalist.org/taxa/324726-Lycorma-delicatula", "View")</f>
        <v>View</v>
      </c>
      <c r="J219" t="s">
        <v>17</v>
      </c>
      <c r="K219" t="s">
        <v>21</v>
      </c>
      <c r="L219">
        <v>324726</v>
      </c>
      <c r="M219">
        <v>83.23</v>
      </c>
      <c r="N219">
        <v>32.549999999999997</v>
      </c>
      <c r="P219">
        <v>1</v>
      </c>
    </row>
    <row r="220" spans="1:16" x14ac:dyDescent="0.3">
      <c r="A220">
        <v>218</v>
      </c>
      <c r="B220" t="str">
        <f>HYPERLINK("https://imapinvasives.natureserve.org/imap/services/page/Presence/1160513.html", "View")</f>
        <v>View</v>
      </c>
      <c r="C220">
        <v>1160513</v>
      </c>
      <c r="D220">
        <v>1167633</v>
      </c>
      <c r="E220" t="str">
        <f>HYPERLINK("http://imap3images.s3-website-us-east-1.amazonaws.com/1167633/p/imap_app_photo_1630281126063.jpg", "View")</f>
        <v>View</v>
      </c>
      <c r="F220" t="s">
        <v>17</v>
      </c>
      <c r="G220" t="s">
        <v>18</v>
      </c>
      <c r="H220">
        <v>324726</v>
      </c>
      <c r="I220" t="str">
        <f>HYPERLINK("https://www.inaturalist.org/taxa/204237-Ampelopsis-glandulosa", "View")</f>
        <v>View</v>
      </c>
      <c r="J220" t="s">
        <v>63</v>
      </c>
      <c r="K220" t="s">
        <v>64</v>
      </c>
      <c r="L220">
        <v>204237</v>
      </c>
      <c r="M220">
        <v>41.52</v>
      </c>
      <c r="N220">
        <v>31.79</v>
      </c>
      <c r="P220">
        <v>0</v>
      </c>
    </row>
    <row r="221" spans="1:16" x14ac:dyDescent="0.3">
      <c r="A221">
        <v>219</v>
      </c>
      <c r="B221" t="str">
        <f>HYPERLINK("https://imapinvasives.natureserve.org/imap/services/page/Presence/1298372.html", "View")</f>
        <v>View</v>
      </c>
      <c r="C221">
        <v>1298372</v>
      </c>
      <c r="D221">
        <v>1308645</v>
      </c>
      <c r="E221" t="str">
        <f>HYPERLINK("http://imap3images.s3-website-us-east-1.amazonaws.com/1308645/p/inat_photo_234673956.jpg", "View")</f>
        <v>View</v>
      </c>
      <c r="F221" t="s">
        <v>17</v>
      </c>
      <c r="G221" t="s">
        <v>18</v>
      </c>
      <c r="H221">
        <v>324726</v>
      </c>
      <c r="I221" t="str">
        <f>HYPERLINK("https://www.inaturalist.org/taxa/324726-Lycorma-delicatula", "View")</f>
        <v>View</v>
      </c>
      <c r="J221" t="s">
        <v>17</v>
      </c>
      <c r="K221" t="s">
        <v>21</v>
      </c>
      <c r="L221">
        <v>324726</v>
      </c>
      <c r="M221">
        <v>64.569999999999993</v>
      </c>
      <c r="N221">
        <v>99.95</v>
      </c>
      <c r="P221">
        <v>1</v>
      </c>
    </row>
    <row r="222" spans="1:16" x14ac:dyDescent="0.3">
      <c r="A222">
        <v>220</v>
      </c>
      <c r="B222" t="str">
        <f>HYPERLINK("https://imapinvasives.natureserve.org/imap/services/page/Presence/1343527.html", "View")</f>
        <v>View</v>
      </c>
      <c r="C222">
        <v>1343527</v>
      </c>
      <c r="D222">
        <v>1359116</v>
      </c>
      <c r="E222" t="str">
        <f>HYPERLINK("http://imap3images.s3-website-us-east-1.amazonaws.com/1359116/p/inat_photo_301541145.jpg", "View")</f>
        <v>View</v>
      </c>
      <c r="F222" t="s">
        <v>17</v>
      </c>
      <c r="G222" t="s">
        <v>18</v>
      </c>
      <c r="H222">
        <v>324726</v>
      </c>
      <c r="I222" t="str">
        <f>HYPERLINK("https://www.inaturalist.org/taxa/324726-Lycorma-delicatula", "View")</f>
        <v>View</v>
      </c>
      <c r="J222" t="s">
        <v>17</v>
      </c>
      <c r="K222" t="s">
        <v>21</v>
      </c>
      <c r="L222">
        <v>324726</v>
      </c>
      <c r="M222">
        <v>64.569999999999993</v>
      </c>
      <c r="N222">
        <v>99.88</v>
      </c>
      <c r="P222">
        <v>1</v>
      </c>
    </row>
    <row r="223" spans="1:16" x14ac:dyDescent="0.3">
      <c r="A223">
        <v>221</v>
      </c>
      <c r="B223" t="str">
        <f>HYPERLINK("https://imapinvasives.natureserve.org/imap/services/page/Presence/1332936.html", "View")</f>
        <v>View</v>
      </c>
      <c r="C223">
        <v>1332936</v>
      </c>
      <c r="D223">
        <v>1347005</v>
      </c>
      <c r="E223" t="str">
        <f>HYPERLINK("http://imap3images.s3-website-us-east-1.amazonaws.com/1347005/p/inat_photo_284293389.jpg", "View")</f>
        <v>View</v>
      </c>
      <c r="F223" t="s">
        <v>17</v>
      </c>
      <c r="G223" t="s">
        <v>18</v>
      </c>
      <c r="H223">
        <v>324726</v>
      </c>
      <c r="I223" t="str">
        <f>HYPERLINK("https://www.inaturalist.org/taxa/324726-Lycorma-delicatula", "View")</f>
        <v>View</v>
      </c>
      <c r="J223" t="s">
        <v>17</v>
      </c>
      <c r="K223" t="s">
        <v>21</v>
      </c>
      <c r="L223">
        <v>324726</v>
      </c>
      <c r="M223">
        <v>64.569999999999993</v>
      </c>
      <c r="N223">
        <v>99.77</v>
      </c>
      <c r="P223">
        <v>1</v>
      </c>
    </row>
    <row r="224" spans="1:16" x14ac:dyDescent="0.3">
      <c r="A224">
        <v>222</v>
      </c>
      <c r="B224" t="str">
        <f>HYPERLINK("https://imapinvasives.natureserve.org/imap/services/page/Presence/1335839.html", "View")</f>
        <v>View</v>
      </c>
      <c r="C224">
        <v>1335839</v>
      </c>
      <c r="D224">
        <v>1350183</v>
      </c>
      <c r="E224" t="str">
        <f>HYPERLINK("http://imap3images.s3-website-us-east-1.amazonaws.com/1350183/p/inat_photo_291819791.jpg", "View")</f>
        <v>View</v>
      </c>
      <c r="F224" t="s">
        <v>17</v>
      </c>
      <c r="G224" t="s">
        <v>18</v>
      </c>
      <c r="H224">
        <v>324726</v>
      </c>
      <c r="I224" t="str">
        <f>HYPERLINK("https://www.inaturalist.org/taxa/324726-Lycorma-delicatula", "View")</f>
        <v>View</v>
      </c>
      <c r="J224" t="s">
        <v>17</v>
      </c>
      <c r="K224" t="s">
        <v>21</v>
      </c>
      <c r="L224">
        <v>324726</v>
      </c>
      <c r="M224">
        <v>64.569999999999993</v>
      </c>
      <c r="N224">
        <v>99.88</v>
      </c>
      <c r="P224">
        <v>1</v>
      </c>
    </row>
    <row r="225" spans="1:16" x14ac:dyDescent="0.3">
      <c r="A225">
        <v>223</v>
      </c>
      <c r="B225" t="str">
        <f>HYPERLINK("https://imapinvasives.natureserve.org/imap/services/page/Presence/1335743.html", "View")</f>
        <v>View</v>
      </c>
      <c r="C225">
        <v>1335743</v>
      </c>
      <c r="D225">
        <v>1350083</v>
      </c>
      <c r="E225" t="str">
        <f>HYPERLINK("http://imap3images.s3-website-us-east-1.amazonaws.com/1350083/p/imap_app_photo_1687217374594.jpg", "View")</f>
        <v>View</v>
      </c>
      <c r="F225" t="s">
        <v>17</v>
      </c>
      <c r="G225" t="s">
        <v>18</v>
      </c>
      <c r="H225">
        <v>324726</v>
      </c>
      <c r="I225" t="str">
        <f>HYPERLINK("https://www.inaturalist.org/taxa/324726-Lycorma-delicatula", "View")</f>
        <v>View</v>
      </c>
      <c r="J225" t="s">
        <v>17</v>
      </c>
      <c r="K225" t="s">
        <v>21</v>
      </c>
      <c r="L225">
        <v>324726</v>
      </c>
      <c r="M225">
        <v>64.569999999999993</v>
      </c>
      <c r="N225">
        <v>97.11</v>
      </c>
      <c r="P225">
        <v>1</v>
      </c>
    </row>
    <row r="226" spans="1:16" x14ac:dyDescent="0.3">
      <c r="A226">
        <v>224</v>
      </c>
      <c r="B226" t="str">
        <f>HYPERLINK("https://imapinvasives.natureserve.org/imap/services/page/Presence/1305114.html", "View")</f>
        <v>View</v>
      </c>
      <c r="C226">
        <v>1305114</v>
      </c>
      <c r="D226">
        <v>1315536</v>
      </c>
      <c r="E226" t="str">
        <f>HYPERLINK("http://imap3images.s3-website-us-east-1.amazonaws.com/1315536/p/inat_photo_240904721.jpg", "View")</f>
        <v>View</v>
      </c>
      <c r="F226" t="s">
        <v>17</v>
      </c>
      <c r="G226" t="s">
        <v>18</v>
      </c>
      <c r="H226">
        <v>324726</v>
      </c>
      <c r="I226" t="str">
        <f>HYPERLINK("https://www.inaturalist.org/taxa/118552-Felis-catus", "View")</f>
        <v>View</v>
      </c>
      <c r="J226" t="s">
        <v>65</v>
      </c>
      <c r="K226" t="s">
        <v>66</v>
      </c>
      <c r="L226">
        <v>118552</v>
      </c>
      <c r="M226">
        <v>47.09</v>
      </c>
      <c r="N226">
        <v>93.31</v>
      </c>
      <c r="P226">
        <v>0</v>
      </c>
    </row>
    <row r="227" spans="1:16" x14ac:dyDescent="0.3">
      <c r="A227">
        <v>225</v>
      </c>
      <c r="B227" t="str">
        <f>HYPERLINK("https://imapinvasives.natureserve.org/imap/services/page/Presence/1341053.html", "View")</f>
        <v>View</v>
      </c>
      <c r="C227">
        <v>1341053</v>
      </c>
      <c r="D227">
        <v>1356272</v>
      </c>
      <c r="E227" t="str">
        <f>HYPERLINK("http://imap3images.s3-website-us-east-1.amazonaws.com/1356272/p/inat_photo_299122816.jpg", "View")</f>
        <v>View</v>
      </c>
      <c r="F227" t="s">
        <v>17</v>
      </c>
      <c r="G227" t="s">
        <v>18</v>
      </c>
      <c r="H227">
        <v>324726</v>
      </c>
      <c r="I227" t="str">
        <f>HYPERLINK("https://www.inaturalist.org/taxa/324726-Lycorma-delicatula", "View")</f>
        <v>View</v>
      </c>
      <c r="J227" t="s">
        <v>17</v>
      </c>
      <c r="K227" t="s">
        <v>21</v>
      </c>
      <c r="L227">
        <v>324726</v>
      </c>
      <c r="M227">
        <v>64.569999999999993</v>
      </c>
      <c r="N227">
        <v>98.87</v>
      </c>
      <c r="P227">
        <v>1</v>
      </c>
    </row>
    <row r="228" spans="1:16" x14ac:dyDescent="0.3">
      <c r="A228">
        <v>226</v>
      </c>
      <c r="B228" t="str">
        <f>HYPERLINK("https://imapinvasives.natureserve.org/imap/services/page/Presence/1132387.html", "View")</f>
        <v>View</v>
      </c>
      <c r="C228">
        <v>1132387</v>
      </c>
      <c r="D228">
        <v>1138780</v>
      </c>
      <c r="E228" t="str">
        <f>HYPERLINK("http://imap3images.s3-website-us-east-1.amazonaws.com/1138780/p/imap_app_photo_1619442861918.jpg", "View")</f>
        <v>View</v>
      </c>
      <c r="F228" t="s">
        <v>17</v>
      </c>
      <c r="G228" t="s">
        <v>18</v>
      </c>
      <c r="H228">
        <v>324726</v>
      </c>
      <c r="I228" t="str">
        <f>HYPERLINK("https://www.inaturalist.org/taxa/49662-Platanus-occidentalis", "View")</f>
        <v>View</v>
      </c>
      <c r="J228" t="s">
        <v>67</v>
      </c>
      <c r="K228" t="s">
        <v>68</v>
      </c>
      <c r="L228">
        <v>49662</v>
      </c>
      <c r="M228">
        <v>59.09</v>
      </c>
      <c r="N228">
        <v>22.16</v>
      </c>
      <c r="P228">
        <v>0</v>
      </c>
    </row>
    <row r="229" spans="1:16" x14ac:dyDescent="0.3">
      <c r="A229">
        <v>227</v>
      </c>
      <c r="B229" t="str">
        <f>HYPERLINK("https://imapinvasives.natureserve.org/imap/services/page/Presence/1153497.html", "View")</f>
        <v>View</v>
      </c>
      <c r="C229">
        <v>1153497</v>
      </c>
      <c r="D229">
        <v>1160476</v>
      </c>
      <c r="E229" t="str">
        <f>HYPERLINK("http://imap3images.s3-website-us-east-1.amazonaws.com/1160476/p/imap_app_photo_1627770714363.jpg", "View")</f>
        <v>View</v>
      </c>
      <c r="F229" t="s">
        <v>17</v>
      </c>
      <c r="G229" t="s">
        <v>18</v>
      </c>
      <c r="H229">
        <v>324726</v>
      </c>
      <c r="I229" t="str">
        <f t="shared" ref="I229:I272" si="12">HYPERLINK("https://www.inaturalist.org/taxa/324726-Lycorma-delicatula", "View")</f>
        <v>View</v>
      </c>
      <c r="J229" t="s">
        <v>17</v>
      </c>
      <c r="K229" t="s">
        <v>21</v>
      </c>
      <c r="L229">
        <v>324726</v>
      </c>
      <c r="M229">
        <v>64.569999999999993</v>
      </c>
      <c r="N229">
        <v>99.97</v>
      </c>
      <c r="P229">
        <v>1</v>
      </c>
    </row>
    <row r="230" spans="1:16" x14ac:dyDescent="0.3">
      <c r="A230">
        <v>228</v>
      </c>
      <c r="B230" t="str">
        <f>HYPERLINK("https://imapinvasives.natureserve.org/imap/services/page/Presence/1441466.html", "View")</f>
        <v>View</v>
      </c>
      <c r="C230">
        <v>1441466</v>
      </c>
      <c r="D230">
        <v>1455925</v>
      </c>
      <c r="E230" t="str">
        <f>HYPERLINK("http://imap3images.s3-website-us-east-1.amazonaws.com/1455925/p/inat_photo_419400015.jpg", "View")</f>
        <v>View</v>
      </c>
      <c r="F230" t="s">
        <v>17</v>
      </c>
      <c r="G230" t="s">
        <v>18</v>
      </c>
      <c r="H230">
        <v>324726</v>
      </c>
      <c r="I230" t="str">
        <f t="shared" si="12"/>
        <v>View</v>
      </c>
      <c r="J230" t="s">
        <v>17</v>
      </c>
      <c r="K230" t="s">
        <v>21</v>
      </c>
      <c r="L230">
        <v>324726</v>
      </c>
      <c r="M230">
        <v>2.81</v>
      </c>
      <c r="N230">
        <v>99.12</v>
      </c>
      <c r="P230">
        <v>1</v>
      </c>
    </row>
    <row r="231" spans="1:16" x14ac:dyDescent="0.3">
      <c r="A231">
        <v>229</v>
      </c>
      <c r="B231" t="str">
        <f>HYPERLINK("https://imapinvasives.natureserve.org/imap/services/page/Presence/1337429.html", "View")</f>
        <v>View</v>
      </c>
      <c r="C231">
        <v>1337429</v>
      </c>
      <c r="D231">
        <v>1351961</v>
      </c>
      <c r="E231" t="str">
        <f>HYPERLINK("http://imap3images.s3-website-us-east-1.amazonaws.com/1351961/p/inat_photo_292928717.jpg", "View")</f>
        <v>View</v>
      </c>
      <c r="F231" t="s">
        <v>17</v>
      </c>
      <c r="G231" t="s">
        <v>18</v>
      </c>
      <c r="H231">
        <v>324726</v>
      </c>
      <c r="I231" t="str">
        <f t="shared" si="12"/>
        <v>View</v>
      </c>
      <c r="J231" t="s">
        <v>17</v>
      </c>
      <c r="K231" t="s">
        <v>21</v>
      </c>
      <c r="L231">
        <v>324726</v>
      </c>
      <c r="M231">
        <v>76.7</v>
      </c>
      <c r="N231">
        <v>99.61</v>
      </c>
      <c r="P231">
        <v>1</v>
      </c>
    </row>
    <row r="232" spans="1:16" x14ac:dyDescent="0.3">
      <c r="A232">
        <v>230</v>
      </c>
      <c r="B232" t="str">
        <f>HYPERLINK("https://imapinvasives.natureserve.org/imap/services/page/Presence/1343530.html", "View")</f>
        <v>View</v>
      </c>
      <c r="C232">
        <v>1343530</v>
      </c>
      <c r="D232">
        <v>1359119</v>
      </c>
      <c r="E232" t="str">
        <f>HYPERLINK("http://imap3images.s3-website-us-east-1.amazonaws.com/1359119/p/inat_photo_303525267.jpg", "View")</f>
        <v>View</v>
      </c>
      <c r="F232" t="s">
        <v>17</v>
      </c>
      <c r="G232" t="s">
        <v>18</v>
      </c>
      <c r="H232">
        <v>324726</v>
      </c>
      <c r="I232" t="str">
        <f t="shared" si="12"/>
        <v>View</v>
      </c>
      <c r="J232" t="s">
        <v>17</v>
      </c>
      <c r="K232" t="s">
        <v>21</v>
      </c>
      <c r="L232">
        <v>324726</v>
      </c>
      <c r="M232">
        <v>76.7</v>
      </c>
      <c r="N232">
        <v>99.98</v>
      </c>
      <c r="P232">
        <v>1</v>
      </c>
    </row>
    <row r="233" spans="1:16" x14ac:dyDescent="0.3">
      <c r="A233">
        <v>231</v>
      </c>
      <c r="B233" t="str">
        <f>HYPERLINK("https://imapinvasives.natureserve.org/imap/services/page/Presence/1349575.html", "View")</f>
        <v>View</v>
      </c>
      <c r="C233">
        <v>1349575</v>
      </c>
      <c r="D233">
        <v>1366520</v>
      </c>
      <c r="E233" t="str">
        <f>HYPERLINK("http://imap3images.s3-website-us-east-1.amazonaws.com/1366520/p/inat_photo_312594023.jpg", "View")</f>
        <v>View</v>
      </c>
      <c r="F233" t="s">
        <v>17</v>
      </c>
      <c r="G233" t="s">
        <v>18</v>
      </c>
      <c r="H233">
        <v>324726</v>
      </c>
      <c r="I233" t="str">
        <f t="shared" si="12"/>
        <v>View</v>
      </c>
      <c r="J233" t="s">
        <v>17</v>
      </c>
      <c r="K233" t="s">
        <v>21</v>
      </c>
      <c r="L233">
        <v>324726</v>
      </c>
      <c r="M233">
        <v>76.7</v>
      </c>
      <c r="N233">
        <v>98.35</v>
      </c>
      <c r="P233">
        <v>1</v>
      </c>
    </row>
    <row r="234" spans="1:16" x14ac:dyDescent="0.3">
      <c r="A234">
        <v>232</v>
      </c>
      <c r="B234" t="str">
        <f>HYPERLINK("https://imapinvasives.natureserve.org/imap/services/page/Presence/1308941.html", "View")</f>
        <v>View</v>
      </c>
      <c r="C234">
        <v>1308941</v>
      </c>
      <c r="D234">
        <v>1319424</v>
      </c>
      <c r="E234" t="str">
        <f>HYPERLINK("http://imap3images.s3-website-us-east-1.amazonaws.com/1319424/p/inat_photo_242396664.jpg", "View")</f>
        <v>View</v>
      </c>
      <c r="F234" t="s">
        <v>17</v>
      </c>
      <c r="G234" t="s">
        <v>18</v>
      </c>
      <c r="H234">
        <v>324726</v>
      </c>
      <c r="I234" t="str">
        <f t="shared" si="12"/>
        <v>View</v>
      </c>
      <c r="J234" t="s">
        <v>17</v>
      </c>
      <c r="K234" t="s">
        <v>21</v>
      </c>
      <c r="L234">
        <v>324726</v>
      </c>
      <c r="M234">
        <v>76.7</v>
      </c>
      <c r="N234">
        <v>99.94</v>
      </c>
      <c r="P234">
        <v>1</v>
      </c>
    </row>
    <row r="235" spans="1:16" x14ac:dyDescent="0.3">
      <c r="A235">
        <v>233</v>
      </c>
      <c r="B235" t="str">
        <f>HYPERLINK("https://imapinvasives.natureserve.org/imap/services/page/Presence/1343560.html", "View")</f>
        <v>View</v>
      </c>
      <c r="C235">
        <v>1343560</v>
      </c>
      <c r="D235">
        <v>1359149</v>
      </c>
      <c r="E235" t="str">
        <f>HYPERLINK("http://imap3images.s3-website-us-east-1.amazonaws.com/1359149/p/inat_photo_303298783.jpg", "View")</f>
        <v>View</v>
      </c>
      <c r="F235" t="s">
        <v>17</v>
      </c>
      <c r="G235" t="s">
        <v>18</v>
      </c>
      <c r="H235">
        <v>324726</v>
      </c>
      <c r="I235" t="str">
        <f t="shared" si="12"/>
        <v>View</v>
      </c>
      <c r="J235" t="s">
        <v>17</v>
      </c>
      <c r="K235" t="s">
        <v>21</v>
      </c>
      <c r="L235">
        <v>324726</v>
      </c>
      <c r="M235">
        <v>59.7</v>
      </c>
      <c r="N235">
        <v>99.9</v>
      </c>
      <c r="P235">
        <v>1</v>
      </c>
    </row>
    <row r="236" spans="1:16" x14ac:dyDescent="0.3">
      <c r="A236">
        <v>234</v>
      </c>
      <c r="B236" t="str">
        <f>HYPERLINK("https://imapinvasives.natureserve.org/imap/services/page/Presence/1351792.html", "View")</f>
        <v>View</v>
      </c>
      <c r="C236">
        <v>1351792</v>
      </c>
      <c r="D236">
        <v>1369145</v>
      </c>
      <c r="E236" t="str">
        <f>HYPERLINK("http://imap3images.s3-website-us-east-1.amazonaws.com/1369145/p/imap_app_photo_1693916535626.jpg", "View")</f>
        <v>View</v>
      </c>
      <c r="F236" t="s">
        <v>17</v>
      </c>
      <c r="G236" t="s">
        <v>18</v>
      </c>
      <c r="H236">
        <v>324726</v>
      </c>
      <c r="I236" t="str">
        <f t="shared" si="12"/>
        <v>View</v>
      </c>
      <c r="J236" t="s">
        <v>17</v>
      </c>
      <c r="K236" t="s">
        <v>21</v>
      </c>
      <c r="L236">
        <v>324726</v>
      </c>
      <c r="M236">
        <v>76.7</v>
      </c>
      <c r="N236">
        <v>99.82</v>
      </c>
      <c r="P236">
        <v>1</v>
      </c>
    </row>
    <row r="237" spans="1:16" x14ac:dyDescent="0.3">
      <c r="A237">
        <v>235</v>
      </c>
      <c r="B237" t="str">
        <f>HYPERLINK("https://imapinvasives.natureserve.org/imap/services/page/Presence/1439739.html", "View")</f>
        <v>View</v>
      </c>
      <c r="C237">
        <v>1439739</v>
      </c>
      <c r="D237">
        <v>1454173</v>
      </c>
      <c r="E237" t="str">
        <f>HYPERLINK("http://imap3images.s3-website-us-east-1.amazonaws.com/1454173/p/imap_app_photo_1723477452712.jpg", "View")</f>
        <v>View</v>
      </c>
      <c r="F237" t="s">
        <v>17</v>
      </c>
      <c r="G237" t="s">
        <v>18</v>
      </c>
      <c r="H237">
        <v>324726</v>
      </c>
      <c r="I237" t="str">
        <f t="shared" si="12"/>
        <v>View</v>
      </c>
      <c r="J237" t="s">
        <v>17</v>
      </c>
      <c r="K237" t="s">
        <v>21</v>
      </c>
      <c r="L237">
        <v>324726</v>
      </c>
      <c r="M237">
        <v>59.7</v>
      </c>
      <c r="N237">
        <v>64.95</v>
      </c>
      <c r="P237">
        <v>1</v>
      </c>
    </row>
    <row r="238" spans="1:16" x14ac:dyDescent="0.3">
      <c r="A238">
        <v>236</v>
      </c>
      <c r="B238" t="str">
        <f>HYPERLINK("https://imapinvasives.natureserve.org/imap/services/page/Presence/1343577.html", "View")</f>
        <v>View</v>
      </c>
      <c r="C238">
        <v>1343577</v>
      </c>
      <c r="D238">
        <v>1359166</v>
      </c>
      <c r="E238" t="str">
        <f>HYPERLINK("http://imap3images.s3-website-us-east-1.amazonaws.com/1359166/p/inat_photo_305302760.jpg", "View")</f>
        <v>View</v>
      </c>
      <c r="F238" t="s">
        <v>17</v>
      </c>
      <c r="G238" t="s">
        <v>18</v>
      </c>
      <c r="H238">
        <v>324726</v>
      </c>
      <c r="I238" t="str">
        <f t="shared" si="12"/>
        <v>View</v>
      </c>
      <c r="J238" t="s">
        <v>17</v>
      </c>
      <c r="K238" t="s">
        <v>21</v>
      </c>
      <c r="L238">
        <v>324726</v>
      </c>
      <c r="M238">
        <v>76.7</v>
      </c>
      <c r="N238">
        <v>99.86</v>
      </c>
      <c r="P238">
        <v>1</v>
      </c>
    </row>
    <row r="239" spans="1:16" x14ac:dyDescent="0.3">
      <c r="A239">
        <v>237</v>
      </c>
      <c r="B239" t="str">
        <f>HYPERLINK("https://imapinvasives.natureserve.org/imap/services/page/Presence/1349560.html", "View")</f>
        <v>View</v>
      </c>
      <c r="C239">
        <v>1349560</v>
      </c>
      <c r="D239">
        <v>1366505</v>
      </c>
      <c r="E239" t="str">
        <f>HYPERLINK("http://imap3images.s3-website-us-east-1.amazonaws.com/1366505/p/inat_photo_310461349.jpg", "View")</f>
        <v>View</v>
      </c>
      <c r="F239" t="s">
        <v>17</v>
      </c>
      <c r="G239" t="s">
        <v>18</v>
      </c>
      <c r="H239">
        <v>324726</v>
      </c>
      <c r="I239" t="str">
        <f t="shared" si="12"/>
        <v>View</v>
      </c>
      <c r="J239" t="s">
        <v>17</v>
      </c>
      <c r="K239" t="s">
        <v>21</v>
      </c>
      <c r="L239">
        <v>324726</v>
      </c>
      <c r="M239">
        <v>76.7</v>
      </c>
      <c r="N239">
        <v>99.76</v>
      </c>
      <c r="P239">
        <v>1</v>
      </c>
    </row>
    <row r="240" spans="1:16" x14ac:dyDescent="0.3">
      <c r="A240">
        <v>238</v>
      </c>
      <c r="B240" t="str">
        <f>HYPERLINK("https://imapinvasives.natureserve.org/imap/services/page/Presence/1438782.html", "View")</f>
        <v>View</v>
      </c>
      <c r="C240">
        <v>1438782</v>
      </c>
      <c r="D240">
        <v>1453051</v>
      </c>
      <c r="E240" t="str">
        <f>HYPERLINK("http://imap3images.s3-website-us-east-1.amazonaws.com/1453051/p/inat_photo_415098869.jpg", "View")</f>
        <v>View</v>
      </c>
      <c r="F240" t="s">
        <v>17</v>
      </c>
      <c r="G240" t="s">
        <v>18</v>
      </c>
      <c r="H240">
        <v>324726</v>
      </c>
      <c r="I240" t="str">
        <f t="shared" si="12"/>
        <v>View</v>
      </c>
      <c r="J240" t="s">
        <v>17</v>
      </c>
      <c r="K240" t="s">
        <v>21</v>
      </c>
      <c r="L240">
        <v>324726</v>
      </c>
      <c r="M240">
        <v>59.7</v>
      </c>
      <c r="N240">
        <v>99.93</v>
      </c>
      <c r="P240">
        <v>1</v>
      </c>
    </row>
    <row r="241" spans="1:16" x14ac:dyDescent="0.3">
      <c r="A241">
        <v>239</v>
      </c>
      <c r="B241" t="str">
        <f>HYPERLINK("https://imapinvasives.natureserve.org/imap/services/page/Presence/1351113.html", "View")</f>
        <v>View</v>
      </c>
      <c r="C241">
        <v>1351113</v>
      </c>
      <c r="D241">
        <v>1368395</v>
      </c>
      <c r="E241" t="str">
        <f>HYPERLINK("http://imap3images.s3-website-us-east-1.amazonaws.com/1368395/p/inat_photo_314425148.jpg", "View")</f>
        <v>View</v>
      </c>
      <c r="F241" t="s">
        <v>17</v>
      </c>
      <c r="G241" t="s">
        <v>18</v>
      </c>
      <c r="H241">
        <v>324726</v>
      </c>
      <c r="I241" t="str">
        <f t="shared" si="12"/>
        <v>View</v>
      </c>
      <c r="J241" t="s">
        <v>17</v>
      </c>
      <c r="K241" t="s">
        <v>21</v>
      </c>
      <c r="L241">
        <v>324726</v>
      </c>
      <c r="M241">
        <v>76.52</v>
      </c>
      <c r="N241">
        <v>99.73</v>
      </c>
      <c r="P241">
        <v>1</v>
      </c>
    </row>
    <row r="242" spans="1:16" x14ac:dyDescent="0.3">
      <c r="A242">
        <v>240</v>
      </c>
      <c r="B242" t="str">
        <f>HYPERLINK("https://imapinvasives.natureserve.org/imap/services/page/Presence/1427749.html", "View")</f>
        <v>View</v>
      </c>
      <c r="C242">
        <v>1427749</v>
      </c>
      <c r="D242">
        <v>1441406</v>
      </c>
      <c r="E242" t="str">
        <f>HYPERLINK("http://imap3images.s3-website-us-east-1.amazonaws.com/1441406/p/imap_app_photo_1720717218547.jpg", "View")</f>
        <v>View</v>
      </c>
      <c r="F242" t="s">
        <v>17</v>
      </c>
      <c r="G242" t="s">
        <v>18</v>
      </c>
      <c r="H242">
        <v>324726</v>
      </c>
      <c r="I242" t="str">
        <f t="shared" si="12"/>
        <v>View</v>
      </c>
      <c r="J242" t="s">
        <v>17</v>
      </c>
      <c r="K242" t="s">
        <v>21</v>
      </c>
      <c r="L242">
        <v>324726</v>
      </c>
      <c r="M242">
        <v>76.7</v>
      </c>
      <c r="N242">
        <v>99.11</v>
      </c>
      <c r="P242">
        <v>1</v>
      </c>
    </row>
    <row r="243" spans="1:16" x14ac:dyDescent="0.3">
      <c r="A243">
        <v>241</v>
      </c>
      <c r="B243" t="str">
        <f>HYPERLINK("https://imapinvasives.natureserve.org/imap/services/page/Presence/1434912.html", "View")</f>
        <v>View</v>
      </c>
      <c r="C243">
        <v>1434912</v>
      </c>
      <c r="D243">
        <v>1448602</v>
      </c>
      <c r="E243" t="str">
        <f>HYPERLINK("http://imap3images.s3-website-us-east-1.amazonaws.com/1448602/p/1000001527.jpg", "View")</f>
        <v>View</v>
      </c>
      <c r="F243" t="s">
        <v>17</v>
      </c>
      <c r="G243" t="s">
        <v>18</v>
      </c>
      <c r="H243">
        <v>324726</v>
      </c>
      <c r="I243" t="str">
        <f t="shared" si="12"/>
        <v>View</v>
      </c>
      <c r="J243" t="s">
        <v>17</v>
      </c>
      <c r="K243" t="s">
        <v>21</v>
      </c>
      <c r="L243">
        <v>324726</v>
      </c>
      <c r="M243">
        <v>76.7</v>
      </c>
      <c r="N243">
        <v>99.84</v>
      </c>
      <c r="P243">
        <v>1</v>
      </c>
    </row>
    <row r="244" spans="1:16" x14ac:dyDescent="0.3">
      <c r="A244">
        <v>242</v>
      </c>
      <c r="B244" t="str">
        <f>HYPERLINK("https://imapinvasives.natureserve.org/imap/services/page/Presence/1443118.html", "View")</f>
        <v>View</v>
      </c>
      <c r="C244">
        <v>1443118</v>
      </c>
      <c r="D244">
        <v>1457735</v>
      </c>
      <c r="E244" t="str">
        <f>HYPERLINK("http://imap3images.s3-website-us-east-1.amazonaws.com/1457735/p/imap_app_photo_1724969462680.jpg", "View")</f>
        <v>View</v>
      </c>
      <c r="F244" t="s">
        <v>17</v>
      </c>
      <c r="G244" t="s">
        <v>18</v>
      </c>
      <c r="H244">
        <v>324726</v>
      </c>
      <c r="I244" t="str">
        <f t="shared" si="12"/>
        <v>View</v>
      </c>
      <c r="J244" t="s">
        <v>17</v>
      </c>
      <c r="K244" t="s">
        <v>21</v>
      </c>
      <c r="L244">
        <v>324726</v>
      </c>
      <c r="M244">
        <v>76.7</v>
      </c>
      <c r="N244">
        <v>100</v>
      </c>
      <c r="P244">
        <v>1</v>
      </c>
    </row>
    <row r="245" spans="1:16" x14ac:dyDescent="0.3">
      <c r="A245">
        <v>243</v>
      </c>
      <c r="B245" t="str">
        <f>HYPERLINK("https://imapinvasives.natureserve.org/imap/services/page/Presence/1338305.html", "View")</f>
        <v>View</v>
      </c>
      <c r="C245">
        <v>1338305</v>
      </c>
      <c r="D245">
        <v>1353047</v>
      </c>
      <c r="E245" t="str">
        <f>HYPERLINK("http://imap3images.s3-website-us-east-1.amazonaws.com/1353047/p/inat_photo_294661464.jpg", "View")</f>
        <v>View</v>
      </c>
      <c r="F245" t="s">
        <v>17</v>
      </c>
      <c r="G245" t="s">
        <v>18</v>
      </c>
      <c r="H245">
        <v>324726</v>
      </c>
      <c r="I245" t="str">
        <f t="shared" si="12"/>
        <v>View</v>
      </c>
      <c r="J245" t="s">
        <v>17</v>
      </c>
      <c r="K245" t="s">
        <v>21</v>
      </c>
      <c r="L245">
        <v>324726</v>
      </c>
      <c r="M245">
        <v>76.7</v>
      </c>
      <c r="N245">
        <v>99.84</v>
      </c>
      <c r="P245">
        <v>1</v>
      </c>
    </row>
    <row r="246" spans="1:16" x14ac:dyDescent="0.3">
      <c r="A246">
        <v>244</v>
      </c>
      <c r="B246" t="str">
        <f>HYPERLINK("https://imapinvasives.natureserve.org/imap/services/page/Presence/1341799.html", "View")</f>
        <v>View</v>
      </c>
      <c r="C246">
        <v>1341799</v>
      </c>
      <c r="D246">
        <v>1357199</v>
      </c>
      <c r="E246" t="str">
        <f>HYPERLINK("http://imap3images.s3-website-us-east-1.amazonaws.com/1357199/p/20230724_130625.jpg", "View")</f>
        <v>View</v>
      </c>
      <c r="F246" t="s">
        <v>17</v>
      </c>
      <c r="G246" t="s">
        <v>18</v>
      </c>
      <c r="H246">
        <v>324726</v>
      </c>
      <c r="I246" t="str">
        <f t="shared" si="12"/>
        <v>View</v>
      </c>
      <c r="J246" t="s">
        <v>17</v>
      </c>
      <c r="K246" t="s">
        <v>21</v>
      </c>
      <c r="L246">
        <v>324726</v>
      </c>
      <c r="M246">
        <v>76.7</v>
      </c>
      <c r="N246">
        <v>99.92</v>
      </c>
      <c r="P246">
        <v>1</v>
      </c>
    </row>
    <row r="247" spans="1:16" x14ac:dyDescent="0.3">
      <c r="A247">
        <v>245</v>
      </c>
      <c r="B247" t="str">
        <f>HYPERLINK("https://imapinvasives.natureserve.org/imap/services/page/Presence/1355159.html", "View")</f>
        <v>View</v>
      </c>
      <c r="C247">
        <v>1355159</v>
      </c>
      <c r="D247">
        <v>1372791</v>
      </c>
      <c r="E247" t="str">
        <f>HYPERLINK("http://imap3images.s3-website-us-east-1.amazonaws.com/1372791/p/IMG_3088.jpeg", "View")</f>
        <v>View</v>
      </c>
      <c r="F247" t="s">
        <v>17</v>
      </c>
      <c r="G247" t="s">
        <v>18</v>
      </c>
      <c r="H247">
        <v>324726</v>
      </c>
      <c r="I247" t="str">
        <f t="shared" si="12"/>
        <v>View</v>
      </c>
      <c r="J247" t="s">
        <v>17</v>
      </c>
      <c r="K247" t="s">
        <v>21</v>
      </c>
      <c r="L247">
        <v>324726</v>
      </c>
      <c r="M247">
        <v>76.7</v>
      </c>
      <c r="N247">
        <v>99.51</v>
      </c>
      <c r="P247">
        <v>1</v>
      </c>
    </row>
    <row r="248" spans="1:16" x14ac:dyDescent="0.3">
      <c r="A248">
        <v>246</v>
      </c>
      <c r="B248" t="str">
        <f>HYPERLINK("https://imapinvasives.natureserve.org/imap/services/page/Presence/1342913.html", "View")</f>
        <v>View</v>
      </c>
      <c r="C248">
        <v>1342913</v>
      </c>
      <c r="D248">
        <v>1358429</v>
      </c>
      <c r="E248" t="str">
        <f>HYPERLINK("http://imap3images.s3-website-us-east-1.amazonaws.com/1358429/p/IMG_4623.jpg", "View")</f>
        <v>View</v>
      </c>
      <c r="F248" t="s">
        <v>17</v>
      </c>
      <c r="G248" t="s">
        <v>18</v>
      </c>
      <c r="H248">
        <v>324726</v>
      </c>
      <c r="I248" t="str">
        <f t="shared" si="12"/>
        <v>View</v>
      </c>
      <c r="J248" t="s">
        <v>17</v>
      </c>
      <c r="K248" t="s">
        <v>21</v>
      </c>
      <c r="L248">
        <v>324726</v>
      </c>
      <c r="M248">
        <v>76.7</v>
      </c>
      <c r="N248">
        <v>97.81</v>
      </c>
      <c r="P248">
        <v>1</v>
      </c>
    </row>
    <row r="249" spans="1:16" x14ac:dyDescent="0.3">
      <c r="A249">
        <v>247</v>
      </c>
      <c r="B249" t="str">
        <f>HYPERLINK("https://imapinvasives.natureserve.org/imap/services/page/Presence/1349563.html", "View")</f>
        <v>View</v>
      </c>
      <c r="C249">
        <v>1349563</v>
      </c>
      <c r="D249">
        <v>1366508</v>
      </c>
      <c r="E249" t="str">
        <f>HYPERLINK("http://imap3images.s3-website-us-east-1.amazonaws.com/1366508/p/inat_photo_310743025.jpg", "View")</f>
        <v>View</v>
      </c>
      <c r="F249" t="s">
        <v>17</v>
      </c>
      <c r="G249" t="s">
        <v>18</v>
      </c>
      <c r="H249">
        <v>324726</v>
      </c>
      <c r="I249" t="str">
        <f t="shared" si="12"/>
        <v>View</v>
      </c>
      <c r="J249" t="s">
        <v>17</v>
      </c>
      <c r="K249" t="s">
        <v>21</v>
      </c>
      <c r="L249">
        <v>324726</v>
      </c>
      <c r="M249">
        <v>76.7</v>
      </c>
      <c r="N249">
        <v>99.86</v>
      </c>
      <c r="P249">
        <v>1</v>
      </c>
    </row>
    <row r="250" spans="1:16" x14ac:dyDescent="0.3">
      <c r="A250">
        <v>248</v>
      </c>
      <c r="B250" t="str">
        <f>HYPERLINK("https://imapinvasives.natureserve.org/imap/services/page/Presence/1182382.html", "View")</f>
        <v>View</v>
      </c>
      <c r="C250">
        <v>1182382</v>
      </c>
      <c r="D250">
        <v>1190344</v>
      </c>
      <c r="E250" t="str">
        <f>HYPERLINK("http://imap3images.s3-website-us-east-1.amazonaws.com/1190344/p/SLF.jpg", "View")</f>
        <v>View</v>
      </c>
      <c r="F250" t="s">
        <v>17</v>
      </c>
      <c r="G250" t="s">
        <v>18</v>
      </c>
      <c r="H250">
        <v>324726</v>
      </c>
      <c r="I250" t="str">
        <f t="shared" si="12"/>
        <v>View</v>
      </c>
      <c r="J250" t="s">
        <v>17</v>
      </c>
      <c r="K250" t="s">
        <v>21</v>
      </c>
      <c r="L250">
        <v>324726</v>
      </c>
      <c r="M250">
        <v>76.7</v>
      </c>
      <c r="N250">
        <v>99.91</v>
      </c>
      <c r="P250">
        <v>1</v>
      </c>
    </row>
    <row r="251" spans="1:16" x14ac:dyDescent="0.3">
      <c r="A251">
        <v>249</v>
      </c>
      <c r="B251" t="str">
        <f>HYPERLINK("https://imapinvasives.natureserve.org/imap/services/page/Presence/1345658.html", "View")</f>
        <v>View</v>
      </c>
      <c r="C251">
        <v>1345658</v>
      </c>
      <c r="D251">
        <v>1361895</v>
      </c>
      <c r="E251" t="str">
        <f>HYPERLINK("http://imap3images.s3-website-us-east-1.amazonaws.com/1361895/p/inat_photo_306123777.jpg", "View")</f>
        <v>View</v>
      </c>
      <c r="F251" t="s">
        <v>17</v>
      </c>
      <c r="G251" t="s">
        <v>18</v>
      </c>
      <c r="H251">
        <v>324726</v>
      </c>
      <c r="I251" t="str">
        <f t="shared" si="12"/>
        <v>View</v>
      </c>
      <c r="J251" t="s">
        <v>17</v>
      </c>
      <c r="K251" t="s">
        <v>21</v>
      </c>
      <c r="L251">
        <v>324726</v>
      </c>
      <c r="M251">
        <v>76.7</v>
      </c>
      <c r="N251">
        <v>99.98</v>
      </c>
      <c r="P251">
        <v>1</v>
      </c>
    </row>
    <row r="252" spans="1:16" x14ac:dyDescent="0.3">
      <c r="A252">
        <v>250</v>
      </c>
      <c r="B252" t="str">
        <f>HYPERLINK("https://imapinvasives.natureserve.org/imap/services/page/Presence/1441439.html", "View")</f>
        <v>View</v>
      </c>
      <c r="C252">
        <v>1441439</v>
      </c>
      <c r="D252">
        <v>1455897</v>
      </c>
      <c r="E252" t="str">
        <f>HYPERLINK("http://imap3images.s3-website-us-east-1.amazonaws.com/1455897/p/20240818_153133.jpg", "View")</f>
        <v>View</v>
      </c>
      <c r="F252" t="s">
        <v>17</v>
      </c>
      <c r="G252" t="s">
        <v>18</v>
      </c>
      <c r="H252">
        <v>324726</v>
      </c>
      <c r="I252" t="str">
        <f t="shared" si="12"/>
        <v>View</v>
      </c>
      <c r="J252" t="s">
        <v>17</v>
      </c>
      <c r="K252" t="s">
        <v>21</v>
      </c>
      <c r="L252">
        <v>324726</v>
      </c>
      <c r="M252">
        <v>76.7</v>
      </c>
      <c r="N252">
        <v>99.96</v>
      </c>
      <c r="P252">
        <v>1</v>
      </c>
    </row>
    <row r="253" spans="1:16" x14ac:dyDescent="0.3">
      <c r="A253">
        <v>251</v>
      </c>
      <c r="B253" t="str">
        <f>HYPERLINK("https://imapinvasives.natureserve.org/imap/services/page/Presence/1355057.html", "View")</f>
        <v>View</v>
      </c>
      <c r="C253">
        <v>1355057</v>
      </c>
      <c r="D253">
        <v>1372689</v>
      </c>
      <c r="E253" t="str">
        <f>HYPERLINK("http://imap3images.s3-website-us-east-1.amazonaws.com/1372689/p/IMG_3475.jpeg", "View")</f>
        <v>View</v>
      </c>
      <c r="F253" t="s">
        <v>17</v>
      </c>
      <c r="G253" t="s">
        <v>18</v>
      </c>
      <c r="H253">
        <v>324726</v>
      </c>
      <c r="I253" t="str">
        <f t="shared" si="12"/>
        <v>View</v>
      </c>
      <c r="J253" t="s">
        <v>17</v>
      </c>
      <c r="K253" t="s">
        <v>21</v>
      </c>
      <c r="L253">
        <v>324726</v>
      </c>
      <c r="M253">
        <v>76.7</v>
      </c>
      <c r="N253">
        <v>99.92</v>
      </c>
      <c r="P253">
        <v>1</v>
      </c>
    </row>
    <row r="254" spans="1:16" x14ac:dyDescent="0.3">
      <c r="A254">
        <v>252</v>
      </c>
      <c r="B254" t="str">
        <f>HYPERLINK("https://imapinvasives.natureserve.org/imap/services/page/Presence/1351110.html", "View")</f>
        <v>View</v>
      </c>
      <c r="C254">
        <v>1351110</v>
      </c>
      <c r="D254">
        <v>1368392</v>
      </c>
      <c r="E254" t="str">
        <f>HYPERLINK("http://imap3images.s3-website-us-east-1.amazonaws.com/1368392/p/inat_photo_313269499.jpg", "View")</f>
        <v>View</v>
      </c>
      <c r="F254" t="s">
        <v>17</v>
      </c>
      <c r="G254" t="s">
        <v>18</v>
      </c>
      <c r="H254">
        <v>324726</v>
      </c>
      <c r="I254" t="str">
        <f t="shared" si="12"/>
        <v>View</v>
      </c>
      <c r="J254" t="s">
        <v>17</v>
      </c>
      <c r="K254" t="s">
        <v>21</v>
      </c>
      <c r="L254">
        <v>324726</v>
      </c>
      <c r="M254">
        <v>76.7</v>
      </c>
      <c r="N254">
        <v>99.42</v>
      </c>
      <c r="P254">
        <v>1</v>
      </c>
    </row>
    <row r="255" spans="1:16" x14ac:dyDescent="0.3">
      <c r="A255">
        <v>253</v>
      </c>
      <c r="B255" t="str">
        <f>HYPERLINK("https://imapinvasives.natureserve.org/imap/services/page/Presence/1355152.html", "View")</f>
        <v>View</v>
      </c>
      <c r="C255">
        <v>1355152</v>
      </c>
      <c r="D255">
        <v>1372784</v>
      </c>
      <c r="E255" t="str">
        <f>HYPERLINK("http://imap3images.s3-website-us-east-1.amazonaws.com/1372784/p/3471AD07-FADF-44BE-94CA-9D5A1F77B57B.jpeg", "View")</f>
        <v>View</v>
      </c>
      <c r="F255" t="s">
        <v>17</v>
      </c>
      <c r="G255" t="s">
        <v>18</v>
      </c>
      <c r="H255">
        <v>324726</v>
      </c>
      <c r="I255" t="str">
        <f t="shared" si="12"/>
        <v>View</v>
      </c>
      <c r="J255" t="s">
        <v>17</v>
      </c>
      <c r="K255" t="s">
        <v>21</v>
      </c>
      <c r="L255">
        <v>324726</v>
      </c>
      <c r="M255">
        <v>76.7</v>
      </c>
      <c r="N255">
        <v>99.98</v>
      </c>
      <c r="P255">
        <v>1</v>
      </c>
    </row>
    <row r="256" spans="1:16" x14ac:dyDescent="0.3">
      <c r="A256">
        <v>254</v>
      </c>
      <c r="B256" t="str">
        <f>HYPERLINK("https://imapinvasives.natureserve.org/imap/services/page/Presence/1364104.html", "View")</f>
        <v>View</v>
      </c>
      <c r="C256">
        <v>1364104</v>
      </c>
      <c r="D256">
        <v>1382017</v>
      </c>
      <c r="E256" t="str">
        <f>HYPERLINK("http://imap3images.s3-website-us-east-1.amazonaws.com/1382017/p/IMG_1944.jpeg", "View")</f>
        <v>View</v>
      </c>
      <c r="F256" t="s">
        <v>17</v>
      </c>
      <c r="G256" t="s">
        <v>18</v>
      </c>
      <c r="H256">
        <v>324726</v>
      </c>
      <c r="I256" t="str">
        <f t="shared" si="12"/>
        <v>View</v>
      </c>
      <c r="J256" t="s">
        <v>17</v>
      </c>
      <c r="K256" t="s">
        <v>21</v>
      </c>
      <c r="L256">
        <v>324726</v>
      </c>
      <c r="M256">
        <v>13.83</v>
      </c>
      <c r="N256">
        <v>99.26</v>
      </c>
      <c r="P256">
        <v>1</v>
      </c>
    </row>
    <row r="257" spans="1:16" x14ac:dyDescent="0.3">
      <c r="A257">
        <v>255</v>
      </c>
      <c r="B257" t="str">
        <f>HYPERLINK("https://imapinvasives.natureserve.org/imap/services/page/Presence/1317523.html", "View")</f>
        <v>View</v>
      </c>
      <c r="C257">
        <v>1317523</v>
      </c>
      <c r="D257">
        <v>1328741</v>
      </c>
      <c r="E257" t="str">
        <f>HYPERLINK("http://imap3images.s3-website-us-east-1.amazonaws.com/1328741/p/SLF_Ditacchio_1-7-23_12737.JPG", "View")</f>
        <v>View</v>
      </c>
      <c r="F257" t="s">
        <v>17</v>
      </c>
      <c r="G257" t="s">
        <v>18</v>
      </c>
      <c r="H257">
        <v>324726</v>
      </c>
      <c r="I257" t="str">
        <f t="shared" si="12"/>
        <v>View</v>
      </c>
      <c r="J257" t="s">
        <v>17</v>
      </c>
      <c r="K257" t="s">
        <v>21</v>
      </c>
      <c r="L257">
        <v>324726</v>
      </c>
      <c r="M257">
        <v>22.07</v>
      </c>
      <c r="N257">
        <v>99.27</v>
      </c>
      <c r="P257">
        <v>1</v>
      </c>
    </row>
    <row r="258" spans="1:16" x14ac:dyDescent="0.3">
      <c r="A258">
        <v>256</v>
      </c>
      <c r="B258" t="str">
        <f>HYPERLINK("https://imapinvasives.natureserve.org/imap/services/page/Presence/1349024.html", "View")</f>
        <v>View</v>
      </c>
      <c r="C258">
        <v>1349024</v>
      </c>
      <c r="D258">
        <v>1365795</v>
      </c>
      <c r="E258" t="str">
        <f>HYPERLINK("http://imap3images.s3-website-us-east-1.amazonaws.com/1365795/p/imap_app_photo_1692553760690.jpg", "View")</f>
        <v>View</v>
      </c>
      <c r="F258" t="s">
        <v>17</v>
      </c>
      <c r="G258" t="s">
        <v>18</v>
      </c>
      <c r="H258">
        <v>324726</v>
      </c>
      <c r="I258" t="str">
        <f t="shared" si="12"/>
        <v>View</v>
      </c>
      <c r="J258" t="s">
        <v>17</v>
      </c>
      <c r="K258" t="s">
        <v>21</v>
      </c>
      <c r="L258">
        <v>324726</v>
      </c>
      <c r="M258">
        <v>4.8499999999999996</v>
      </c>
      <c r="N258">
        <v>98.27</v>
      </c>
      <c r="P258">
        <v>1</v>
      </c>
    </row>
    <row r="259" spans="1:16" x14ac:dyDescent="0.3">
      <c r="A259">
        <v>257</v>
      </c>
      <c r="B259" t="str">
        <f>HYPERLINK("https://imapinvasives.natureserve.org/imap/services/page/Presence/1298624.html", "View")</f>
        <v>View</v>
      </c>
      <c r="C259">
        <v>1298624</v>
      </c>
      <c r="D259">
        <v>1308944</v>
      </c>
      <c r="E259" t="str">
        <f>HYPERLINK("http://imap3images.s3-website-us-east-1.amazonaws.com/1308944/p/inat_photo_235753154.jpg", "View")</f>
        <v>View</v>
      </c>
      <c r="F259" t="s">
        <v>17</v>
      </c>
      <c r="G259" t="s">
        <v>18</v>
      </c>
      <c r="H259">
        <v>324726</v>
      </c>
      <c r="I259" t="str">
        <f t="shared" si="12"/>
        <v>View</v>
      </c>
      <c r="J259" t="s">
        <v>17</v>
      </c>
      <c r="K259" t="s">
        <v>21</v>
      </c>
      <c r="L259">
        <v>324726</v>
      </c>
      <c r="M259">
        <v>61.19</v>
      </c>
      <c r="N259">
        <v>99.87</v>
      </c>
      <c r="P259">
        <v>1</v>
      </c>
    </row>
    <row r="260" spans="1:16" x14ac:dyDescent="0.3">
      <c r="A260">
        <v>258</v>
      </c>
      <c r="B260" t="str">
        <f>HYPERLINK("https://imapinvasives.natureserve.org/imap/services/page/Presence/1345670.html", "View")</f>
        <v>View</v>
      </c>
      <c r="C260">
        <v>1345670</v>
      </c>
      <c r="D260">
        <v>1361907</v>
      </c>
      <c r="E260" t="str">
        <f>HYPERLINK("http://imap3images.s3-website-us-east-1.amazonaws.com/1361907/p/inat_photo_307509351.jpg", "View")</f>
        <v>View</v>
      </c>
      <c r="F260" t="s">
        <v>17</v>
      </c>
      <c r="G260" t="s">
        <v>18</v>
      </c>
      <c r="H260">
        <v>324726</v>
      </c>
      <c r="I260" t="str">
        <f t="shared" si="12"/>
        <v>View</v>
      </c>
      <c r="J260" t="s">
        <v>17</v>
      </c>
      <c r="K260" t="s">
        <v>21</v>
      </c>
      <c r="L260">
        <v>324726</v>
      </c>
      <c r="M260">
        <v>61.19</v>
      </c>
      <c r="N260">
        <v>98.95</v>
      </c>
      <c r="P260">
        <v>1</v>
      </c>
    </row>
    <row r="261" spans="1:16" x14ac:dyDescent="0.3">
      <c r="A261">
        <v>259</v>
      </c>
      <c r="B261" t="str">
        <f>HYPERLINK("https://imapinvasives.natureserve.org/imap/services/page/Presence/1355032.html", "View")</f>
        <v>View</v>
      </c>
      <c r="C261">
        <v>1355032</v>
      </c>
      <c r="D261">
        <v>1372664</v>
      </c>
      <c r="E261" t="str">
        <f>HYPERLINK("http://imap3images.s3-website-us-east-1.amazonaws.com/1372664/p/20221007_134413.jpg", "View")</f>
        <v>View</v>
      </c>
      <c r="F261" t="s">
        <v>17</v>
      </c>
      <c r="G261" t="s">
        <v>18</v>
      </c>
      <c r="H261">
        <v>324726</v>
      </c>
      <c r="I261" t="str">
        <f t="shared" si="12"/>
        <v>View</v>
      </c>
      <c r="J261" t="s">
        <v>17</v>
      </c>
      <c r="K261" t="s">
        <v>21</v>
      </c>
      <c r="L261">
        <v>324726</v>
      </c>
      <c r="M261">
        <v>13.83</v>
      </c>
      <c r="N261">
        <v>99.88</v>
      </c>
      <c r="P261">
        <v>1</v>
      </c>
    </row>
    <row r="262" spans="1:16" x14ac:dyDescent="0.3">
      <c r="A262">
        <v>260</v>
      </c>
      <c r="B262" t="str">
        <f>HYPERLINK("https://imapinvasives.natureserve.org/imap/services/page/Presence/1356862.html", "View")</f>
        <v>View</v>
      </c>
      <c r="C262">
        <v>1356862</v>
      </c>
      <c r="D262">
        <v>1374499</v>
      </c>
      <c r="E262" t="str">
        <f>HYPERLINK("http://imap3images.s3-website-us-east-1.amazonaws.com/1374499/p/SLF_on_Bernas_Road.jpg", "View")</f>
        <v>View</v>
      </c>
      <c r="F262" t="s">
        <v>17</v>
      </c>
      <c r="G262" t="s">
        <v>18</v>
      </c>
      <c r="H262">
        <v>324726</v>
      </c>
      <c r="I262" t="str">
        <f t="shared" si="12"/>
        <v>View</v>
      </c>
      <c r="J262" t="s">
        <v>17</v>
      </c>
      <c r="K262" t="s">
        <v>21</v>
      </c>
      <c r="L262">
        <v>324726</v>
      </c>
      <c r="M262">
        <v>4.8499999999999996</v>
      </c>
      <c r="N262">
        <v>95.97</v>
      </c>
      <c r="P262">
        <v>1</v>
      </c>
    </row>
    <row r="263" spans="1:16" x14ac:dyDescent="0.3">
      <c r="A263">
        <v>261</v>
      </c>
      <c r="B263" t="str">
        <f>HYPERLINK("https://imapinvasives.natureserve.org/imap/services/page/Presence/1354038.html", "View")</f>
        <v>View</v>
      </c>
      <c r="C263">
        <v>1354038</v>
      </c>
      <c r="D263">
        <v>1371465</v>
      </c>
      <c r="E263" t="str">
        <f>HYPERLINK("http://imap3images.s3-website-us-east-1.amazonaws.com/1371465/p/20230915_113053.jpg", "View")</f>
        <v>View</v>
      </c>
      <c r="F263" t="s">
        <v>17</v>
      </c>
      <c r="G263" t="s">
        <v>18</v>
      </c>
      <c r="H263">
        <v>324726</v>
      </c>
      <c r="I263" t="str">
        <f t="shared" si="12"/>
        <v>View</v>
      </c>
      <c r="J263" t="s">
        <v>17</v>
      </c>
      <c r="K263" t="s">
        <v>21</v>
      </c>
      <c r="L263">
        <v>324726</v>
      </c>
      <c r="M263">
        <v>13.83</v>
      </c>
      <c r="N263">
        <v>99.87</v>
      </c>
      <c r="P263">
        <v>1</v>
      </c>
    </row>
    <row r="264" spans="1:16" x14ac:dyDescent="0.3">
      <c r="A264">
        <v>262</v>
      </c>
      <c r="B264" t="str">
        <f>HYPERLINK("https://imapinvasives.natureserve.org/imap/services/page/Presence/1363332.html", "View")</f>
        <v>View</v>
      </c>
      <c r="C264">
        <v>1363332</v>
      </c>
      <c r="D264">
        <v>1381155</v>
      </c>
      <c r="E264" t="str">
        <f>HYPERLINK("http://imap3images.s3-website-us-east-1.amazonaws.com/1381155/p/inat_photo_327352150.jpg", "View")</f>
        <v>View</v>
      </c>
      <c r="F264" t="s">
        <v>17</v>
      </c>
      <c r="G264" t="s">
        <v>18</v>
      </c>
      <c r="H264">
        <v>324726</v>
      </c>
      <c r="I264" t="str">
        <f t="shared" si="12"/>
        <v>View</v>
      </c>
      <c r="J264" t="s">
        <v>17</v>
      </c>
      <c r="K264" t="s">
        <v>21</v>
      </c>
      <c r="L264">
        <v>324726</v>
      </c>
      <c r="M264">
        <v>13.83</v>
      </c>
      <c r="N264">
        <v>99.91</v>
      </c>
      <c r="P264">
        <v>1</v>
      </c>
    </row>
    <row r="265" spans="1:16" x14ac:dyDescent="0.3">
      <c r="A265">
        <v>263</v>
      </c>
      <c r="B265" t="str">
        <f>HYPERLINK("https://imapinvasives.natureserve.org/imap/services/page/Presence/1352332.html", "View")</f>
        <v>View</v>
      </c>
      <c r="C265">
        <v>1352332</v>
      </c>
      <c r="D265">
        <v>1369690</v>
      </c>
      <c r="E265" t="str">
        <f>HYPERLINK("http://imap3images.s3-website-us-east-1.amazonaws.com/1369690/p/20230907_184838.jpg", "View")</f>
        <v>View</v>
      </c>
      <c r="F265" t="s">
        <v>17</v>
      </c>
      <c r="G265" t="s">
        <v>18</v>
      </c>
      <c r="H265">
        <v>324726</v>
      </c>
      <c r="I265" t="str">
        <f t="shared" si="12"/>
        <v>View</v>
      </c>
      <c r="J265" t="s">
        <v>17</v>
      </c>
      <c r="K265" t="s">
        <v>21</v>
      </c>
      <c r="L265">
        <v>324726</v>
      </c>
      <c r="M265">
        <v>61.19</v>
      </c>
      <c r="N265">
        <v>99.96</v>
      </c>
      <c r="P265">
        <v>1</v>
      </c>
    </row>
    <row r="266" spans="1:16" x14ac:dyDescent="0.3">
      <c r="A266">
        <v>264</v>
      </c>
      <c r="B266" t="str">
        <f>HYPERLINK("https://imapinvasives.natureserve.org/imap/services/page/Presence/1443663.html", "View")</f>
        <v>View</v>
      </c>
      <c r="C266">
        <v>1443663</v>
      </c>
      <c r="D266">
        <v>1458313</v>
      </c>
      <c r="E266" t="str">
        <f>HYPERLINK("http://imap3images.s3-website-us-east-1.amazonaws.com/1458313/p/imap_app_photo_1725236406888.jpg", "View")</f>
        <v>View</v>
      </c>
      <c r="F266" t="s">
        <v>17</v>
      </c>
      <c r="G266" t="s">
        <v>18</v>
      </c>
      <c r="H266">
        <v>324726</v>
      </c>
      <c r="I266" t="str">
        <f t="shared" si="12"/>
        <v>View</v>
      </c>
      <c r="J266" t="s">
        <v>17</v>
      </c>
      <c r="K266" t="s">
        <v>21</v>
      </c>
      <c r="L266">
        <v>324726</v>
      </c>
      <c r="M266">
        <v>4.03</v>
      </c>
      <c r="N266">
        <v>99.56</v>
      </c>
      <c r="P266">
        <v>1</v>
      </c>
    </row>
    <row r="267" spans="1:16" x14ac:dyDescent="0.3">
      <c r="A267">
        <v>265</v>
      </c>
      <c r="B267" t="str">
        <f>HYPERLINK("https://imapinvasives.natureserve.org/imap/services/page/Presence/1435675.html", "View")</f>
        <v>View</v>
      </c>
      <c r="C267">
        <v>1435675</v>
      </c>
      <c r="D267">
        <v>1449405</v>
      </c>
      <c r="E267" t="str">
        <f>HYPERLINK("http://imap3images.s3-website-us-east-1.amazonaws.com/1449405/p/inat_photo_409358330.jpg", "View")</f>
        <v>View</v>
      </c>
      <c r="F267" t="s">
        <v>17</v>
      </c>
      <c r="G267" t="s">
        <v>18</v>
      </c>
      <c r="H267">
        <v>324726</v>
      </c>
      <c r="I267" t="str">
        <f t="shared" si="12"/>
        <v>View</v>
      </c>
      <c r="J267" t="s">
        <v>17</v>
      </c>
      <c r="K267" t="s">
        <v>21</v>
      </c>
      <c r="L267">
        <v>324726</v>
      </c>
      <c r="M267">
        <v>4.03</v>
      </c>
      <c r="N267">
        <v>83.74</v>
      </c>
      <c r="P267">
        <v>1</v>
      </c>
    </row>
    <row r="268" spans="1:16" x14ac:dyDescent="0.3">
      <c r="A268">
        <v>266</v>
      </c>
      <c r="B268" t="str">
        <f>HYPERLINK("https://imapinvasives.natureserve.org/imap/services/page/Presence/1439756.html", "View")</f>
        <v>View</v>
      </c>
      <c r="C268">
        <v>1439756</v>
      </c>
      <c r="D268">
        <v>1454190</v>
      </c>
      <c r="E268" t="str">
        <f>HYPERLINK("http://imap3images.s3-website-us-east-1.amazonaws.com/1454190/p/inat_photo_417130927.jpg", "View")</f>
        <v>View</v>
      </c>
      <c r="F268" t="s">
        <v>17</v>
      </c>
      <c r="G268" t="s">
        <v>18</v>
      </c>
      <c r="H268">
        <v>324726</v>
      </c>
      <c r="I268" t="str">
        <f t="shared" si="12"/>
        <v>View</v>
      </c>
      <c r="J268" t="s">
        <v>17</v>
      </c>
      <c r="K268" t="s">
        <v>21</v>
      </c>
      <c r="L268">
        <v>324726</v>
      </c>
      <c r="M268">
        <v>1.91</v>
      </c>
      <c r="N268">
        <v>98.57</v>
      </c>
      <c r="P268">
        <v>1</v>
      </c>
    </row>
    <row r="269" spans="1:16" x14ac:dyDescent="0.3">
      <c r="A269">
        <v>267</v>
      </c>
      <c r="B269" t="str">
        <f>HYPERLINK("https://imapinvasives.natureserve.org/imap/services/page/Presence/1291403.html", "View")</f>
        <v>View</v>
      </c>
      <c r="C269">
        <v>1291403</v>
      </c>
      <c r="D269">
        <v>1301598</v>
      </c>
      <c r="E269" t="str">
        <f>HYPERLINK("http://imap3images.s3-website-us-east-1.amazonaws.com/1301598/p/inat_photo_227013299.jpg", "View")</f>
        <v>View</v>
      </c>
      <c r="F269" t="s">
        <v>17</v>
      </c>
      <c r="G269" t="s">
        <v>18</v>
      </c>
      <c r="H269">
        <v>324726</v>
      </c>
      <c r="I269" t="str">
        <f t="shared" si="12"/>
        <v>View</v>
      </c>
      <c r="J269" t="s">
        <v>17</v>
      </c>
      <c r="K269" t="s">
        <v>21</v>
      </c>
      <c r="L269">
        <v>324726</v>
      </c>
      <c r="M269">
        <v>1.91</v>
      </c>
      <c r="N269">
        <v>96</v>
      </c>
      <c r="P269">
        <v>1</v>
      </c>
    </row>
    <row r="270" spans="1:16" x14ac:dyDescent="0.3">
      <c r="A270">
        <v>268</v>
      </c>
      <c r="B270" t="str">
        <f>HYPERLINK("https://imapinvasives.natureserve.org/imap/services/page/Presence/1416975.html", "View")</f>
        <v>View</v>
      </c>
      <c r="C270">
        <v>1416975</v>
      </c>
      <c r="D270">
        <v>1430622</v>
      </c>
      <c r="E270" t="str">
        <f>HYPERLINK("http://imap3images.s3-website-us-east-1.amazonaws.com/1430622/p/inat_photo_396923839.jpg", "View")</f>
        <v>View</v>
      </c>
      <c r="F270" t="s">
        <v>17</v>
      </c>
      <c r="G270" t="s">
        <v>18</v>
      </c>
      <c r="H270">
        <v>324726</v>
      </c>
      <c r="I270" t="str">
        <f t="shared" si="12"/>
        <v>View</v>
      </c>
      <c r="J270" t="s">
        <v>17</v>
      </c>
      <c r="K270" t="s">
        <v>21</v>
      </c>
      <c r="L270">
        <v>324726</v>
      </c>
      <c r="M270">
        <v>12.17</v>
      </c>
      <c r="N270">
        <v>99.84</v>
      </c>
      <c r="P270">
        <v>1</v>
      </c>
    </row>
    <row r="271" spans="1:16" x14ac:dyDescent="0.3">
      <c r="A271">
        <v>269</v>
      </c>
      <c r="B271" t="str">
        <f>HYPERLINK("https://imapinvasives.natureserve.org/imap/services/page/Presence/1341057.html", "View")</f>
        <v>View</v>
      </c>
      <c r="C271">
        <v>1341057</v>
      </c>
      <c r="D271">
        <v>1356276</v>
      </c>
      <c r="E271" t="str">
        <f>HYPERLINK("http://imap3images.s3-website-us-east-1.amazonaws.com/1356276/p/inat_photo_299919949.jpg", "View")</f>
        <v>View</v>
      </c>
      <c r="F271" t="s">
        <v>17</v>
      </c>
      <c r="G271" t="s">
        <v>18</v>
      </c>
      <c r="H271">
        <v>324726</v>
      </c>
      <c r="I271" t="str">
        <f t="shared" si="12"/>
        <v>View</v>
      </c>
      <c r="J271" t="s">
        <v>17</v>
      </c>
      <c r="K271" t="s">
        <v>21</v>
      </c>
      <c r="L271">
        <v>324726</v>
      </c>
      <c r="M271">
        <v>12.17</v>
      </c>
      <c r="N271">
        <v>99.6</v>
      </c>
      <c r="P271">
        <v>1</v>
      </c>
    </row>
    <row r="272" spans="1:16" x14ac:dyDescent="0.3">
      <c r="A272">
        <v>270</v>
      </c>
      <c r="B272" t="str">
        <f>HYPERLINK("https://imapinvasives.natureserve.org/imap/services/page/Presence/1442548.html", "View")</f>
        <v>View</v>
      </c>
      <c r="C272">
        <v>1442548</v>
      </c>
      <c r="D272">
        <v>1457123</v>
      </c>
      <c r="E272" t="str">
        <f>HYPERLINK("http://imap3images.s3-website-us-east-1.amazonaws.com/1457123/p/inat_photo_422812312.jpg", "View")</f>
        <v>View</v>
      </c>
      <c r="F272" t="s">
        <v>17</v>
      </c>
      <c r="G272" t="s">
        <v>18</v>
      </c>
      <c r="H272">
        <v>324726</v>
      </c>
      <c r="I272" t="str">
        <f t="shared" si="12"/>
        <v>View</v>
      </c>
      <c r="J272" t="s">
        <v>17</v>
      </c>
      <c r="K272" t="s">
        <v>21</v>
      </c>
      <c r="L272">
        <v>324726</v>
      </c>
      <c r="M272">
        <v>12.17</v>
      </c>
      <c r="N272">
        <v>99.66</v>
      </c>
      <c r="P272">
        <v>1</v>
      </c>
    </row>
    <row r="273" spans="1:16" x14ac:dyDescent="0.3">
      <c r="A273">
        <v>271</v>
      </c>
      <c r="B273" t="str">
        <f>HYPERLINK("https://imapinvasives.natureserve.org/imap/services/page/Presence/1332559.html", "View")</f>
        <v>View</v>
      </c>
      <c r="C273">
        <v>1332559</v>
      </c>
      <c r="D273">
        <v>1346487</v>
      </c>
      <c r="E273" t="str">
        <f>HYPERLINK("http://imap3images.s3-website-us-east-1.amazonaws.com/1346487/p/SLF_at_FRSP_053123.jpg", "View")</f>
        <v>View</v>
      </c>
      <c r="F273" t="s">
        <v>17</v>
      </c>
      <c r="G273" t="s">
        <v>18</v>
      </c>
      <c r="H273">
        <v>324726</v>
      </c>
      <c r="I273" t="str">
        <f>HYPERLINK("https://www.inaturalist.org/taxa/129902-Camponotus-pennsylvanicus", "View")</f>
        <v>View</v>
      </c>
      <c r="J273" t="s">
        <v>69</v>
      </c>
      <c r="K273" t="s">
        <v>70</v>
      </c>
      <c r="L273">
        <v>129902</v>
      </c>
      <c r="M273">
        <v>49.73</v>
      </c>
      <c r="N273">
        <v>26.62</v>
      </c>
      <c r="P273">
        <v>0</v>
      </c>
    </row>
    <row r="274" spans="1:16" x14ac:dyDescent="0.3">
      <c r="A274">
        <v>272</v>
      </c>
      <c r="B274" t="str">
        <f>HYPERLINK("https://imapinvasives.natureserve.org/imap/services/page/Presence/1351382.html", "View")</f>
        <v>View</v>
      </c>
      <c r="C274">
        <v>1351382</v>
      </c>
      <c r="D274">
        <v>1368684</v>
      </c>
      <c r="E274" t="str">
        <f>HYPERLINK("http://imap3images.s3-website-us-east-1.amazonaws.com/1368684/p/imap_app_photo_1693522292555.jpg", "View")</f>
        <v>View</v>
      </c>
      <c r="F274" t="s">
        <v>17</v>
      </c>
      <c r="G274" t="s">
        <v>18</v>
      </c>
      <c r="H274">
        <v>324726</v>
      </c>
      <c r="I274" t="str">
        <f>HYPERLINK("https://www.inaturalist.org/taxa/324726-Lycorma-delicatula", "View")</f>
        <v>View</v>
      </c>
      <c r="J274" t="s">
        <v>17</v>
      </c>
      <c r="K274" t="s">
        <v>21</v>
      </c>
      <c r="L274">
        <v>324726</v>
      </c>
      <c r="M274">
        <v>57.71</v>
      </c>
      <c r="N274">
        <v>96.52</v>
      </c>
      <c r="P274">
        <v>1</v>
      </c>
    </row>
    <row r="275" spans="1:16" x14ac:dyDescent="0.3">
      <c r="A275">
        <v>273</v>
      </c>
      <c r="B275" t="str">
        <f>HYPERLINK("https://imapinvasives.natureserve.org/imap/services/page/Presence/1416980.html", "View")</f>
        <v>View</v>
      </c>
      <c r="C275">
        <v>1416980</v>
      </c>
      <c r="D275">
        <v>1430627</v>
      </c>
      <c r="E275" t="str">
        <f>HYPERLINK("http://imap3images.s3-website-us-east-1.amazonaws.com/1430627/p/inat_photo_401840543.jpg", "View")</f>
        <v>View</v>
      </c>
      <c r="F275" t="s">
        <v>17</v>
      </c>
      <c r="G275" t="s">
        <v>18</v>
      </c>
      <c r="H275">
        <v>324726</v>
      </c>
      <c r="I275" t="str">
        <f>HYPERLINK("https://www.inaturalist.org/taxa/324726-Lycorma-delicatula", "View")</f>
        <v>View</v>
      </c>
      <c r="J275" t="s">
        <v>17</v>
      </c>
      <c r="K275" t="s">
        <v>21</v>
      </c>
      <c r="L275">
        <v>324726</v>
      </c>
      <c r="M275">
        <v>12.17</v>
      </c>
      <c r="N275">
        <v>99.78</v>
      </c>
      <c r="P275">
        <v>1</v>
      </c>
    </row>
    <row r="276" spans="1:16" x14ac:dyDescent="0.3">
      <c r="A276">
        <v>274</v>
      </c>
      <c r="B276" t="str">
        <f>HYPERLINK("https://imapinvasives.natureserve.org/imap/services/page/Presence/1350523.html", "View")</f>
        <v>View</v>
      </c>
      <c r="C276">
        <v>1350523</v>
      </c>
      <c r="D276">
        <v>1367494</v>
      </c>
      <c r="E276" t="str">
        <f>HYPERLINK("http://imap3images.s3-website-us-east-1.amazonaws.com/1367494/p/imap_app_photo_1693249326596.jpg", "View")</f>
        <v>View</v>
      </c>
      <c r="F276" t="s">
        <v>17</v>
      </c>
      <c r="G276" t="s">
        <v>18</v>
      </c>
      <c r="H276">
        <v>324726</v>
      </c>
      <c r="I276" t="str">
        <f>HYPERLINK("https://www.inaturalist.org/taxa/324726-Lycorma-delicatula", "View")</f>
        <v>View</v>
      </c>
      <c r="J276" t="s">
        <v>17</v>
      </c>
      <c r="K276" t="s">
        <v>21</v>
      </c>
      <c r="L276">
        <v>324726</v>
      </c>
      <c r="M276">
        <v>57.71</v>
      </c>
      <c r="N276">
        <v>99.95</v>
      </c>
      <c r="P276">
        <v>1</v>
      </c>
    </row>
    <row r="277" spans="1:16" x14ac:dyDescent="0.3">
      <c r="A277">
        <v>275</v>
      </c>
      <c r="B277" t="str">
        <f>HYPERLINK("https://imapinvasives.natureserve.org/imap/services/page/Presence/1364609.html", "View")</f>
        <v>View</v>
      </c>
      <c r="C277">
        <v>1364609</v>
      </c>
      <c r="D277">
        <v>1382522</v>
      </c>
      <c r="E277" t="str">
        <f>HYPERLINK("http://imap3images.s3-website-us-east-1.amazonaws.com/1382522/p/imap_app_photo_1701017425705.jpg", "View")</f>
        <v>View</v>
      </c>
      <c r="F277" t="s">
        <v>17</v>
      </c>
      <c r="G277" t="s">
        <v>18</v>
      </c>
      <c r="H277">
        <v>324726</v>
      </c>
      <c r="I277" t="str">
        <f>HYPERLINK("https://www.inaturalist.org/taxa/324726-Lycorma-delicatula", "View")</f>
        <v>View</v>
      </c>
      <c r="J277" t="s">
        <v>17</v>
      </c>
      <c r="K277" t="s">
        <v>21</v>
      </c>
      <c r="L277">
        <v>324726</v>
      </c>
      <c r="M277">
        <v>12.17</v>
      </c>
      <c r="N277">
        <v>97.88</v>
      </c>
      <c r="P277">
        <v>1</v>
      </c>
    </row>
    <row r="278" spans="1:16" x14ac:dyDescent="0.3">
      <c r="A278">
        <v>276</v>
      </c>
      <c r="B278" t="str">
        <f>HYPERLINK("https://imapinvasives.natureserve.org/imap/services/page/Presence/1438795.html", "View")</f>
        <v>View</v>
      </c>
      <c r="C278">
        <v>1438795</v>
      </c>
      <c r="D278">
        <v>1453064</v>
      </c>
      <c r="E278" t="str">
        <f>HYPERLINK("http://imap3images.s3-website-us-east-1.amazonaws.com/1453064/p/imap_app_photo_1722951182425.jpg", "View")</f>
        <v>View</v>
      </c>
      <c r="F278" t="s">
        <v>17</v>
      </c>
      <c r="G278" t="s">
        <v>18</v>
      </c>
      <c r="H278">
        <v>324726</v>
      </c>
      <c r="I278" t="str">
        <f>HYPERLINK("https://www.inaturalist.org/taxa/324726-Lycorma-delicatula", "View")</f>
        <v>View</v>
      </c>
      <c r="J278" t="s">
        <v>17</v>
      </c>
      <c r="K278" t="s">
        <v>21</v>
      </c>
      <c r="L278">
        <v>324726</v>
      </c>
      <c r="M278">
        <v>57.71</v>
      </c>
      <c r="N278">
        <v>99.02</v>
      </c>
      <c r="P278">
        <v>1</v>
      </c>
    </row>
    <row r="279" spans="1:16" x14ac:dyDescent="0.3">
      <c r="A279">
        <v>277</v>
      </c>
      <c r="B279" t="str">
        <f>HYPERLINK("https://imapinvasives.natureserve.org/imap/services/page/Presence/1443484.html", "View")</f>
        <v>View</v>
      </c>
      <c r="C279">
        <v>1443484</v>
      </c>
      <c r="D279">
        <v>1458110</v>
      </c>
      <c r="E279" t="str">
        <f>HYPERLINK("http://imap3images.s3-website-us-east-1.amazonaws.com/1458110/p/IMG_20240829_131428_(1).jpg", "View")</f>
        <v>View</v>
      </c>
      <c r="F279" t="s">
        <v>17</v>
      </c>
      <c r="G279" t="s">
        <v>18</v>
      </c>
      <c r="H279">
        <v>324726</v>
      </c>
      <c r="I279" t="str">
        <f>HYPERLINK("https://www.inaturalist.org/taxa/54763-Acer-platanoides", "View")</f>
        <v>View</v>
      </c>
      <c r="J279" t="s">
        <v>71</v>
      </c>
      <c r="K279" t="s">
        <v>72</v>
      </c>
      <c r="L279">
        <v>54763</v>
      </c>
      <c r="M279">
        <v>29.1</v>
      </c>
      <c r="N279">
        <v>56.99</v>
      </c>
      <c r="P279">
        <v>0</v>
      </c>
    </row>
    <row r="280" spans="1:16" x14ac:dyDescent="0.3">
      <c r="A280">
        <v>278</v>
      </c>
      <c r="B280" t="str">
        <f>HYPERLINK("https://imapinvasives.natureserve.org/imap/services/page/Presence/1319796.html", "View")</f>
        <v>View</v>
      </c>
      <c r="C280">
        <v>1319796</v>
      </c>
      <c r="D280">
        <v>1330995</v>
      </c>
      <c r="E280" t="str">
        <f>HYPERLINK("http://imap3images.s3-website-us-east-1.amazonaws.com/1330995/p/imap_app_photo_1674842333582.jpg", "View")</f>
        <v>View</v>
      </c>
      <c r="F280" t="s">
        <v>17</v>
      </c>
      <c r="G280" t="s">
        <v>18</v>
      </c>
      <c r="H280">
        <v>324726</v>
      </c>
      <c r="I280" t="str">
        <f t="shared" ref="I280:I321" si="13">HYPERLINK("https://www.inaturalist.org/taxa/324726-Lycorma-delicatula", "View")</f>
        <v>View</v>
      </c>
      <c r="J280" t="s">
        <v>17</v>
      </c>
      <c r="K280" t="s">
        <v>21</v>
      </c>
      <c r="L280">
        <v>324726</v>
      </c>
      <c r="M280">
        <v>57.71</v>
      </c>
      <c r="N280">
        <v>98.56</v>
      </c>
      <c r="P280">
        <v>1</v>
      </c>
    </row>
    <row r="281" spans="1:16" x14ac:dyDescent="0.3">
      <c r="A281">
        <v>279</v>
      </c>
      <c r="B281" t="str">
        <f>HYPERLINK("https://imapinvasives.natureserve.org/imap/services/page/Presence/1434500.html", "View")</f>
        <v>View</v>
      </c>
      <c r="C281">
        <v>1434500</v>
      </c>
      <c r="D281">
        <v>1448160</v>
      </c>
      <c r="E281" t="str">
        <f>HYPERLINK("http://imap3images.s3-website-us-east-1.amazonaws.com/1448160/p/imap_app_photo_1720972192374.jpg", "View")</f>
        <v>View</v>
      </c>
      <c r="F281" t="s">
        <v>17</v>
      </c>
      <c r="G281" t="s">
        <v>18</v>
      </c>
      <c r="H281">
        <v>324726</v>
      </c>
      <c r="I281" t="str">
        <f t="shared" si="13"/>
        <v>View</v>
      </c>
      <c r="J281" t="s">
        <v>17</v>
      </c>
      <c r="K281" t="s">
        <v>21</v>
      </c>
      <c r="L281">
        <v>324726</v>
      </c>
      <c r="M281">
        <v>57.71</v>
      </c>
      <c r="N281">
        <v>99.77</v>
      </c>
      <c r="P281">
        <v>1</v>
      </c>
    </row>
    <row r="282" spans="1:16" x14ac:dyDescent="0.3">
      <c r="A282">
        <v>280</v>
      </c>
      <c r="B282" t="str">
        <f>HYPERLINK("https://imapinvasives.natureserve.org/imap/services/page/Presence/1416977.html", "View")</f>
        <v>View</v>
      </c>
      <c r="C282">
        <v>1416977</v>
      </c>
      <c r="D282">
        <v>1430624</v>
      </c>
      <c r="E282" t="str">
        <f>HYPERLINK("http://imap3images.s3-website-us-east-1.amazonaws.com/1430624/p/inat_photo_399251848.jpg", "View")</f>
        <v>View</v>
      </c>
      <c r="F282" t="s">
        <v>17</v>
      </c>
      <c r="G282" t="s">
        <v>18</v>
      </c>
      <c r="H282">
        <v>324726</v>
      </c>
      <c r="I282" t="str">
        <f t="shared" si="13"/>
        <v>View</v>
      </c>
      <c r="J282" t="s">
        <v>17</v>
      </c>
      <c r="K282" t="s">
        <v>21</v>
      </c>
      <c r="L282">
        <v>324726</v>
      </c>
      <c r="M282">
        <v>12.17</v>
      </c>
      <c r="N282">
        <v>98.84</v>
      </c>
      <c r="P282">
        <v>1</v>
      </c>
    </row>
    <row r="283" spans="1:16" x14ac:dyDescent="0.3">
      <c r="A283">
        <v>281</v>
      </c>
      <c r="B283" t="str">
        <f>HYPERLINK("https://imapinvasives.natureserve.org/imap/services/page/Presence/1332385.html", "View")</f>
        <v>View</v>
      </c>
      <c r="C283">
        <v>1332385</v>
      </c>
      <c r="D283">
        <v>1346148</v>
      </c>
      <c r="E283" t="str">
        <f>HYPERLINK("http://imap3images.s3-website-us-east-1.amazonaws.com/1346148/p/imap_app_photo_1685470974624.jpg", "View")</f>
        <v>View</v>
      </c>
      <c r="F283" t="s">
        <v>17</v>
      </c>
      <c r="G283" t="s">
        <v>18</v>
      </c>
      <c r="H283">
        <v>324726</v>
      </c>
      <c r="I283" t="str">
        <f t="shared" si="13"/>
        <v>View</v>
      </c>
      <c r="J283" t="s">
        <v>17</v>
      </c>
      <c r="K283" t="s">
        <v>21</v>
      </c>
      <c r="L283">
        <v>324726</v>
      </c>
      <c r="M283">
        <v>12.17</v>
      </c>
      <c r="N283">
        <v>73.41</v>
      </c>
      <c r="P283">
        <v>1</v>
      </c>
    </row>
    <row r="284" spans="1:16" x14ac:dyDescent="0.3">
      <c r="A284">
        <v>282</v>
      </c>
      <c r="B284" t="str">
        <f>HYPERLINK("https://imapinvasives.natureserve.org/imap/services/page/Presence/1309189.html", "View")</f>
        <v>View</v>
      </c>
      <c r="C284">
        <v>1309189</v>
      </c>
      <c r="D284">
        <v>1319722</v>
      </c>
      <c r="E284" t="str">
        <f>HYPERLINK("http://imap3images.s3-website-us-east-1.amazonaws.com/1319722/p/inat_photo_244748884.jpg", "View")</f>
        <v>View</v>
      </c>
      <c r="F284" t="s">
        <v>17</v>
      </c>
      <c r="G284" t="s">
        <v>18</v>
      </c>
      <c r="H284">
        <v>324726</v>
      </c>
      <c r="I284" t="str">
        <f t="shared" si="13"/>
        <v>View</v>
      </c>
      <c r="J284" t="s">
        <v>17</v>
      </c>
      <c r="K284" t="s">
        <v>21</v>
      </c>
      <c r="L284">
        <v>324726</v>
      </c>
      <c r="M284">
        <v>57.71</v>
      </c>
      <c r="N284">
        <v>99.79</v>
      </c>
      <c r="P284">
        <v>1</v>
      </c>
    </row>
    <row r="285" spans="1:16" x14ac:dyDescent="0.3">
      <c r="A285">
        <v>283</v>
      </c>
      <c r="B285" t="str">
        <f>HYPERLINK("https://imapinvasives.natureserve.org/imap/services/page/Presence/1164669.html", "View")</f>
        <v>View</v>
      </c>
      <c r="C285">
        <v>1164669</v>
      </c>
      <c r="D285">
        <v>1171913</v>
      </c>
      <c r="E285" t="str">
        <f>HYPERLINK("http://imap3images.s3-website-us-east-1.amazonaws.com/1171913/p/20210917_100207.jpg", "View")</f>
        <v>View</v>
      </c>
      <c r="F285" t="s">
        <v>17</v>
      </c>
      <c r="G285" t="s">
        <v>18</v>
      </c>
      <c r="H285">
        <v>324726</v>
      </c>
      <c r="I285" t="str">
        <f t="shared" si="13"/>
        <v>View</v>
      </c>
      <c r="J285" t="s">
        <v>17</v>
      </c>
      <c r="K285" t="s">
        <v>21</v>
      </c>
      <c r="L285">
        <v>324726</v>
      </c>
      <c r="M285">
        <v>57.71</v>
      </c>
      <c r="N285">
        <v>99.87</v>
      </c>
      <c r="P285">
        <v>1</v>
      </c>
    </row>
    <row r="286" spans="1:16" x14ac:dyDescent="0.3">
      <c r="A286">
        <v>284</v>
      </c>
      <c r="B286" t="str">
        <f>HYPERLINK("https://imapinvasives.natureserve.org/imap/services/page/Presence/1345684.html", "View")</f>
        <v>View</v>
      </c>
      <c r="C286">
        <v>1345684</v>
      </c>
      <c r="D286">
        <v>1361921</v>
      </c>
      <c r="E286" t="str">
        <f>HYPERLINK("http://imap3images.s3-website-us-east-1.amazonaws.com/1361921/p/inat_photo_308484454.jpg", "View")</f>
        <v>View</v>
      </c>
      <c r="F286" t="s">
        <v>17</v>
      </c>
      <c r="G286" t="s">
        <v>18</v>
      </c>
      <c r="H286">
        <v>324726</v>
      </c>
      <c r="I286" t="str">
        <f t="shared" si="13"/>
        <v>View</v>
      </c>
      <c r="J286" t="s">
        <v>17</v>
      </c>
      <c r="K286" t="s">
        <v>21</v>
      </c>
      <c r="L286">
        <v>324726</v>
      </c>
      <c r="M286">
        <v>57.71</v>
      </c>
      <c r="N286">
        <v>99.78</v>
      </c>
      <c r="P286">
        <v>1</v>
      </c>
    </row>
    <row r="287" spans="1:16" x14ac:dyDescent="0.3">
      <c r="A287">
        <v>285</v>
      </c>
      <c r="B287" t="str">
        <f>HYPERLINK("https://imapinvasives.natureserve.org/imap/services/page/Presence/1363089.html", "View")</f>
        <v>View</v>
      </c>
      <c r="C287">
        <v>1363089</v>
      </c>
      <c r="D287">
        <v>1380910</v>
      </c>
      <c r="E287" t="str">
        <f>HYPERLINK("http://imap3images.s3-website-us-east-1.amazonaws.com/1380910/p/20231027_154045_(1).jpg", "View")</f>
        <v>View</v>
      </c>
      <c r="F287" t="s">
        <v>17</v>
      </c>
      <c r="G287" t="s">
        <v>18</v>
      </c>
      <c r="H287">
        <v>324726</v>
      </c>
      <c r="I287" t="str">
        <f t="shared" si="13"/>
        <v>View</v>
      </c>
      <c r="J287" t="s">
        <v>17</v>
      </c>
      <c r="K287" t="s">
        <v>21</v>
      </c>
      <c r="L287">
        <v>324726</v>
      </c>
      <c r="M287">
        <v>57.71</v>
      </c>
      <c r="N287">
        <v>99.87</v>
      </c>
      <c r="P287">
        <v>1</v>
      </c>
    </row>
    <row r="288" spans="1:16" x14ac:dyDescent="0.3">
      <c r="A288">
        <v>286</v>
      </c>
      <c r="B288" t="str">
        <f>HYPERLINK("https://imapinvasives.natureserve.org/imap/services/page/Presence/1439162.html", "View")</f>
        <v>View</v>
      </c>
      <c r="C288">
        <v>1439162</v>
      </c>
      <c r="D288">
        <v>1453543</v>
      </c>
      <c r="E288" t="str">
        <f>HYPERLINK("http://imap3images.s3-website-us-east-1.amazonaws.com/1453543/p/imap_app_photo_1723140940382.jpg", "View")</f>
        <v>View</v>
      </c>
      <c r="F288" t="s">
        <v>17</v>
      </c>
      <c r="G288" t="s">
        <v>18</v>
      </c>
      <c r="H288">
        <v>324726</v>
      </c>
      <c r="I288" t="str">
        <f t="shared" si="13"/>
        <v>View</v>
      </c>
      <c r="J288" t="s">
        <v>17</v>
      </c>
      <c r="K288" t="s">
        <v>21</v>
      </c>
      <c r="L288">
        <v>324726</v>
      </c>
      <c r="M288">
        <v>57.71</v>
      </c>
      <c r="N288">
        <v>99.58</v>
      </c>
      <c r="P288">
        <v>1</v>
      </c>
    </row>
    <row r="289" spans="1:16" x14ac:dyDescent="0.3">
      <c r="A289">
        <v>287</v>
      </c>
      <c r="B289" t="str">
        <f>HYPERLINK("https://imapinvasives.natureserve.org/imap/services/page/Presence/1363337.html", "View")</f>
        <v>View</v>
      </c>
      <c r="C289">
        <v>1363337</v>
      </c>
      <c r="D289">
        <v>1381160</v>
      </c>
      <c r="E289" t="str">
        <f>HYPERLINK("http://imap3images.s3-website-us-east-1.amazonaws.com/1381160/p/inat_photo_331066729.jpg", "View")</f>
        <v>View</v>
      </c>
      <c r="F289" t="s">
        <v>17</v>
      </c>
      <c r="G289" t="s">
        <v>18</v>
      </c>
      <c r="H289">
        <v>324726</v>
      </c>
      <c r="I289" t="str">
        <f t="shared" si="13"/>
        <v>View</v>
      </c>
      <c r="J289" t="s">
        <v>17</v>
      </c>
      <c r="K289" t="s">
        <v>21</v>
      </c>
      <c r="L289">
        <v>324726</v>
      </c>
      <c r="M289">
        <v>57.71</v>
      </c>
      <c r="N289">
        <v>99.88</v>
      </c>
      <c r="P289">
        <v>1</v>
      </c>
    </row>
    <row r="290" spans="1:16" x14ac:dyDescent="0.3">
      <c r="A290">
        <v>288</v>
      </c>
      <c r="B290" t="str">
        <f>HYPERLINK("https://imapinvasives.natureserve.org/imap/services/page/Presence/1416981.html", "View")</f>
        <v>View</v>
      </c>
      <c r="C290">
        <v>1416981</v>
      </c>
      <c r="D290">
        <v>1430628</v>
      </c>
      <c r="E290" t="str">
        <f>HYPERLINK("http://imap3images.s3-website-us-east-1.amazonaws.com/1430628/p/inat_photo_402648252.jpg", "View")</f>
        <v>View</v>
      </c>
      <c r="F290" t="s">
        <v>17</v>
      </c>
      <c r="G290" t="s">
        <v>18</v>
      </c>
      <c r="H290">
        <v>324726</v>
      </c>
      <c r="I290" t="str">
        <f t="shared" si="13"/>
        <v>View</v>
      </c>
      <c r="J290" t="s">
        <v>17</v>
      </c>
      <c r="K290" t="s">
        <v>21</v>
      </c>
      <c r="L290">
        <v>324726</v>
      </c>
      <c r="M290">
        <v>12.17</v>
      </c>
      <c r="N290">
        <v>99.26</v>
      </c>
      <c r="P290">
        <v>1</v>
      </c>
    </row>
    <row r="291" spans="1:16" x14ac:dyDescent="0.3">
      <c r="A291">
        <v>289</v>
      </c>
      <c r="B291" t="str">
        <f>HYPERLINK("https://imapinvasives.natureserve.org/imap/services/page/Presence/1416970.html", "View")</f>
        <v>View</v>
      </c>
      <c r="C291">
        <v>1416970</v>
      </c>
      <c r="D291">
        <v>1430617</v>
      </c>
      <c r="E291" t="str">
        <f>HYPERLINK("http://imap3images.s3-website-us-east-1.amazonaws.com/1430617/p/inat_photo_363803732.jpg", "View")</f>
        <v>View</v>
      </c>
      <c r="F291" t="s">
        <v>17</v>
      </c>
      <c r="G291" t="s">
        <v>18</v>
      </c>
      <c r="H291">
        <v>324726</v>
      </c>
      <c r="I291" t="str">
        <f t="shared" si="13"/>
        <v>View</v>
      </c>
      <c r="J291" t="s">
        <v>17</v>
      </c>
      <c r="K291" t="s">
        <v>21</v>
      </c>
      <c r="L291">
        <v>324726</v>
      </c>
      <c r="M291">
        <v>12.17</v>
      </c>
      <c r="N291">
        <v>78.19</v>
      </c>
      <c r="P291">
        <v>1</v>
      </c>
    </row>
    <row r="292" spans="1:16" x14ac:dyDescent="0.3">
      <c r="A292">
        <v>290</v>
      </c>
      <c r="B292" t="str">
        <f>HYPERLINK("https://imapinvasives.natureserve.org/imap/services/page/Presence/1416978.html", "View")</f>
        <v>View</v>
      </c>
      <c r="C292">
        <v>1416978</v>
      </c>
      <c r="D292">
        <v>1430625</v>
      </c>
      <c r="E292" t="str">
        <f>HYPERLINK("http://imap3images.s3-website-us-east-1.amazonaws.com/1430625/p/inat_photo_399797686.jpg", "View")</f>
        <v>View</v>
      </c>
      <c r="F292" t="s">
        <v>17</v>
      </c>
      <c r="G292" t="s">
        <v>18</v>
      </c>
      <c r="H292">
        <v>324726</v>
      </c>
      <c r="I292" t="str">
        <f t="shared" si="13"/>
        <v>View</v>
      </c>
      <c r="J292" t="s">
        <v>17</v>
      </c>
      <c r="K292" t="s">
        <v>21</v>
      </c>
      <c r="L292">
        <v>324726</v>
      </c>
      <c r="M292">
        <v>57.71</v>
      </c>
      <c r="N292">
        <v>99.85</v>
      </c>
      <c r="P292">
        <v>1</v>
      </c>
    </row>
    <row r="293" spans="1:16" x14ac:dyDescent="0.3">
      <c r="A293">
        <v>291</v>
      </c>
      <c r="B293" t="str">
        <f>HYPERLINK("https://imapinvasives.natureserve.org/imap/services/page/Presence/1367442.html", "View")</f>
        <v>View</v>
      </c>
      <c r="C293">
        <v>1367442</v>
      </c>
      <c r="D293">
        <v>1385490</v>
      </c>
      <c r="E293" t="str">
        <f>HYPERLINK("http://imap3images.s3-website-us-east-1.amazonaws.com/1385490/p/imap_app_photo_1705084015881.jpg", "View")</f>
        <v>View</v>
      </c>
      <c r="F293" t="s">
        <v>17</v>
      </c>
      <c r="G293" t="s">
        <v>18</v>
      </c>
      <c r="H293">
        <v>324726</v>
      </c>
      <c r="I293" t="str">
        <f t="shared" si="13"/>
        <v>View</v>
      </c>
      <c r="J293" t="s">
        <v>17</v>
      </c>
      <c r="K293" t="s">
        <v>21</v>
      </c>
      <c r="L293">
        <v>324726</v>
      </c>
      <c r="M293">
        <v>13.83</v>
      </c>
      <c r="N293">
        <v>84.98</v>
      </c>
      <c r="P293">
        <v>1</v>
      </c>
    </row>
    <row r="294" spans="1:16" x14ac:dyDescent="0.3">
      <c r="A294">
        <v>292</v>
      </c>
      <c r="B294" t="str">
        <f>HYPERLINK("https://imapinvasives.natureserve.org/imap/services/page/Presence/1438994.html", "View")</f>
        <v>View</v>
      </c>
      <c r="C294">
        <v>1438994</v>
      </c>
      <c r="D294">
        <v>1453315</v>
      </c>
      <c r="E294" t="str">
        <f>HYPERLINK("http://imap3images.s3-website-us-east-1.amazonaws.com/1453315/p/20240807_132510.jpg", "View")</f>
        <v>View</v>
      </c>
      <c r="F294" t="s">
        <v>17</v>
      </c>
      <c r="G294" t="s">
        <v>18</v>
      </c>
      <c r="H294">
        <v>324726</v>
      </c>
      <c r="I294" t="str">
        <f t="shared" si="13"/>
        <v>View</v>
      </c>
      <c r="J294" t="s">
        <v>17</v>
      </c>
      <c r="K294" t="s">
        <v>21</v>
      </c>
      <c r="L294">
        <v>324726</v>
      </c>
      <c r="M294">
        <v>57.71</v>
      </c>
      <c r="N294">
        <v>99.55</v>
      </c>
      <c r="P294">
        <v>1</v>
      </c>
    </row>
    <row r="295" spans="1:16" x14ac:dyDescent="0.3">
      <c r="A295">
        <v>293</v>
      </c>
      <c r="B295" t="str">
        <f>HYPERLINK("https://imapinvasives.natureserve.org/imap/services/page/Presence/1355025.html", "View")</f>
        <v>View</v>
      </c>
      <c r="C295">
        <v>1355025</v>
      </c>
      <c r="D295">
        <v>1372657</v>
      </c>
      <c r="E295" t="str">
        <f>HYPERLINK("http://imap3images.s3-website-us-east-1.amazonaws.com/1372657/p/F8519410-2E4B-4D2B-9DEA-C9A851BE86F8.jpeg", "View")</f>
        <v>View</v>
      </c>
      <c r="F295" t="s">
        <v>17</v>
      </c>
      <c r="G295" t="s">
        <v>18</v>
      </c>
      <c r="H295">
        <v>324726</v>
      </c>
      <c r="I295" t="str">
        <f t="shared" si="13"/>
        <v>View</v>
      </c>
      <c r="J295" t="s">
        <v>17</v>
      </c>
      <c r="K295" t="s">
        <v>21</v>
      </c>
      <c r="L295">
        <v>324726</v>
      </c>
      <c r="M295">
        <v>81.28</v>
      </c>
      <c r="N295">
        <v>99.96</v>
      </c>
      <c r="P295">
        <v>1</v>
      </c>
    </row>
    <row r="296" spans="1:16" x14ac:dyDescent="0.3">
      <c r="A296">
        <v>294</v>
      </c>
      <c r="B296" t="str">
        <f>HYPERLINK("https://imapinvasives.natureserve.org/imap/services/page/Presence/1355033.html", "View")</f>
        <v>View</v>
      </c>
      <c r="C296">
        <v>1355033</v>
      </c>
      <c r="D296">
        <v>1372665</v>
      </c>
      <c r="E296" t="str">
        <f>HYPERLINK("http://imap3images.s3-website-us-east-1.amazonaws.com/1372665/p/B9903372-8656-410C-8149-EA582E8A4B31.jpeg", "View")</f>
        <v>View</v>
      </c>
      <c r="F296" t="s">
        <v>17</v>
      </c>
      <c r="G296" t="s">
        <v>18</v>
      </c>
      <c r="H296">
        <v>324726</v>
      </c>
      <c r="I296" t="str">
        <f t="shared" si="13"/>
        <v>View</v>
      </c>
      <c r="J296" t="s">
        <v>17</v>
      </c>
      <c r="K296" t="s">
        <v>21</v>
      </c>
      <c r="L296">
        <v>324726</v>
      </c>
      <c r="M296">
        <v>81.28</v>
      </c>
      <c r="N296">
        <v>99.35</v>
      </c>
      <c r="P296">
        <v>1</v>
      </c>
    </row>
    <row r="297" spans="1:16" x14ac:dyDescent="0.3">
      <c r="A297">
        <v>295</v>
      </c>
      <c r="B297" t="str">
        <f>HYPERLINK("https://imapinvasives.natureserve.org/imap/services/page/Presence/1341639.html", "View")</f>
        <v>View</v>
      </c>
      <c r="C297">
        <v>1341639</v>
      </c>
      <c r="D297">
        <v>1356969</v>
      </c>
      <c r="E297" t="str">
        <f>HYPERLINK("http://imap3images.s3-website-us-east-1.amazonaws.com/1356969/p/7201B4D6-32B9-47F8-8B2A-49D1248678A7.jpeg", "View")</f>
        <v>View</v>
      </c>
      <c r="F297" t="s">
        <v>17</v>
      </c>
      <c r="G297" t="s">
        <v>18</v>
      </c>
      <c r="H297">
        <v>324726</v>
      </c>
      <c r="I297" t="str">
        <f t="shared" si="13"/>
        <v>View</v>
      </c>
      <c r="J297" t="s">
        <v>17</v>
      </c>
      <c r="K297" t="s">
        <v>21</v>
      </c>
      <c r="L297">
        <v>324726</v>
      </c>
      <c r="M297">
        <v>64.569999999999993</v>
      </c>
      <c r="N297">
        <v>99.93</v>
      </c>
      <c r="P297">
        <v>1</v>
      </c>
    </row>
    <row r="298" spans="1:16" x14ac:dyDescent="0.3">
      <c r="A298">
        <v>296</v>
      </c>
      <c r="B298" t="str">
        <f>HYPERLINK("https://imapinvasives.natureserve.org/imap/services/page/Presence/1435375.html", "View")</f>
        <v>View</v>
      </c>
      <c r="C298">
        <v>1435375</v>
      </c>
      <c r="D298">
        <v>1449086</v>
      </c>
      <c r="E298" t="str">
        <f>HYPERLINK("http://imap3images.s3-website-us-east-1.amazonaws.com/1449086/p/imap_app_photo_1721506192976.jpg", "View")</f>
        <v>View</v>
      </c>
      <c r="F298" t="s">
        <v>17</v>
      </c>
      <c r="G298" t="s">
        <v>18</v>
      </c>
      <c r="H298">
        <v>324726</v>
      </c>
      <c r="I298" t="str">
        <f t="shared" si="13"/>
        <v>View</v>
      </c>
      <c r="J298" t="s">
        <v>17</v>
      </c>
      <c r="K298" t="s">
        <v>21</v>
      </c>
      <c r="L298">
        <v>324726</v>
      </c>
      <c r="M298">
        <v>64.569999999999993</v>
      </c>
      <c r="N298">
        <v>99.49</v>
      </c>
      <c r="P298">
        <v>1</v>
      </c>
    </row>
    <row r="299" spans="1:16" x14ac:dyDescent="0.3">
      <c r="A299">
        <v>297</v>
      </c>
      <c r="B299" t="str">
        <f>HYPERLINK("https://imapinvasives.natureserve.org/imap/services/page/Presence/1413935.html", "View")</f>
        <v>View</v>
      </c>
      <c r="C299">
        <v>1413935</v>
      </c>
      <c r="D299">
        <v>1427440</v>
      </c>
      <c r="E299" t="str">
        <f>HYPERLINK("http://imap3images.s3-website-us-east-1.amazonaws.com/1427440/p/imap_app_photo_1719767798532.jpg", "View")</f>
        <v>View</v>
      </c>
      <c r="F299" t="s">
        <v>17</v>
      </c>
      <c r="G299" t="s">
        <v>18</v>
      </c>
      <c r="H299">
        <v>324726</v>
      </c>
      <c r="I299" t="str">
        <f t="shared" si="13"/>
        <v>View</v>
      </c>
      <c r="J299" t="s">
        <v>17</v>
      </c>
      <c r="K299" t="s">
        <v>21</v>
      </c>
      <c r="L299">
        <v>324726</v>
      </c>
      <c r="M299">
        <v>81.28</v>
      </c>
      <c r="N299">
        <v>99.17</v>
      </c>
      <c r="P299">
        <v>1</v>
      </c>
    </row>
    <row r="300" spans="1:16" x14ac:dyDescent="0.3">
      <c r="A300">
        <v>298</v>
      </c>
      <c r="B300" t="str">
        <f>HYPERLINK("https://imapinvasives.natureserve.org/imap/services/page/Presence/1341175.html", "View")</f>
        <v>View</v>
      </c>
      <c r="C300">
        <v>1341175</v>
      </c>
      <c r="D300">
        <v>1356394</v>
      </c>
      <c r="E300" t="str">
        <f>HYPERLINK("http://imap3images.s3-website-us-east-1.amazonaws.com/1356394/p/20230714_103751.jpg", "View")</f>
        <v>View</v>
      </c>
      <c r="F300" t="s">
        <v>17</v>
      </c>
      <c r="G300" t="s">
        <v>18</v>
      </c>
      <c r="H300">
        <v>324726</v>
      </c>
      <c r="I300" t="str">
        <f t="shared" si="13"/>
        <v>View</v>
      </c>
      <c r="J300" t="s">
        <v>17</v>
      </c>
      <c r="K300" t="s">
        <v>21</v>
      </c>
      <c r="L300">
        <v>324726</v>
      </c>
      <c r="M300">
        <v>81.28</v>
      </c>
      <c r="N300">
        <v>99.77</v>
      </c>
      <c r="P300">
        <v>1</v>
      </c>
    </row>
    <row r="301" spans="1:16" x14ac:dyDescent="0.3">
      <c r="A301">
        <v>299</v>
      </c>
      <c r="B301" t="str">
        <f>HYPERLINK("https://imapinvasives.natureserve.org/imap/services/page/Presence/1410833.html", "View")</f>
        <v>View</v>
      </c>
      <c r="C301">
        <v>1410833</v>
      </c>
      <c r="D301">
        <v>1423373</v>
      </c>
      <c r="E301" t="str">
        <f>HYPERLINK("http://imap3images.s3-website-us-east-1.amazonaws.com/1423373/p/imap_app_photo_1717893793013.jpg", "View")</f>
        <v>View</v>
      </c>
      <c r="F301" t="s">
        <v>17</v>
      </c>
      <c r="G301" t="s">
        <v>18</v>
      </c>
      <c r="H301">
        <v>324726</v>
      </c>
      <c r="I301" t="str">
        <f t="shared" si="13"/>
        <v>View</v>
      </c>
      <c r="J301" t="s">
        <v>17</v>
      </c>
      <c r="K301" t="s">
        <v>21</v>
      </c>
      <c r="L301">
        <v>324726</v>
      </c>
      <c r="M301">
        <v>81.28</v>
      </c>
      <c r="N301">
        <v>99.94</v>
      </c>
      <c r="P301">
        <v>1</v>
      </c>
    </row>
    <row r="302" spans="1:16" x14ac:dyDescent="0.3">
      <c r="A302">
        <v>300</v>
      </c>
      <c r="B302" t="str">
        <f>HYPERLINK("https://imapinvasives.natureserve.org/imap/services/page/Presence/1290158.html", "View")</f>
        <v>View</v>
      </c>
      <c r="C302">
        <v>1290158</v>
      </c>
      <c r="D302">
        <v>1300342</v>
      </c>
      <c r="E302" t="str">
        <f>HYPERLINK("http://imap3images.s3-website-us-east-1.amazonaws.com/1300342/p/inat_photo_226112209.jpg", "View")</f>
        <v>View</v>
      </c>
      <c r="F302" t="s">
        <v>17</v>
      </c>
      <c r="G302" t="s">
        <v>18</v>
      </c>
      <c r="H302">
        <v>324726</v>
      </c>
      <c r="I302" t="str">
        <f t="shared" si="13"/>
        <v>View</v>
      </c>
      <c r="J302" t="s">
        <v>17</v>
      </c>
      <c r="K302" t="s">
        <v>21</v>
      </c>
      <c r="L302">
        <v>324726</v>
      </c>
      <c r="M302">
        <v>81.28</v>
      </c>
      <c r="N302">
        <v>99.94</v>
      </c>
      <c r="P302">
        <v>1</v>
      </c>
    </row>
    <row r="303" spans="1:16" x14ac:dyDescent="0.3">
      <c r="A303">
        <v>301</v>
      </c>
      <c r="B303" t="str">
        <f>HYPERLINK("https://imapinvasives.natureserve.org/imap/services/page/Presence/1413934.html", "View")</f>
        <v>View</v>
      </c>
      <c r="C303">
        <v>1413934</v>
      </c>
      <c r="D303">
        <v>1427439</v>
      </c>
      <c r="E303" t="str">
        <f>HYPERLINK("http://imap3images.s3-website-us-east-1.amazonaws.com/1427439/p/imap_app_photo_1719767791602.jpg", "View")</f>
        <v>View</v>
      </c>
      <c r="F303" t="s">
        <v>17</v>
      </c>
      <c r="G303" t="s">
        <v>18</v>
      </c>
      <c r="H303">
        <v>324726</v>
      </c>
      <c r="I303" t="str">
        <f t="shared" si="13"/>
        <v>View</v>
      </c>
      <c r="J303" t="s">
        <v>17</v>
      </c>
      <c r="K303" t="s">
        <v>21</v>
      </c>
      <c r="L303">
        <v>324726</v>
      </c>
      <c r="M303">
        <v>81.28</v>
      </c>
      <c r="N303">
        <v>99.83</v>
      </c>
      <c r="P303">
        <v>1</v>
      </c>
    </row>
    <row r="304" spans="1:16" x14ac:dyDescent="0.3">
      <c r="A304">
        <v>302</v>
      </c>
      <c r="B304" t="str">
        <f>HYPERLINK("https://imapinvasives.natureserve.org/imap/services/page/Presence/1355047.html", "View")</f>
        <v>View</v>
      </c>
      <c r="C304">
        <v>1355047</v>
      </c>
      <c r="D304">
        <v>1372679</v>
      </c>
      <c r="E304" t="str">
        <f>HYPERLINK("http://imap3images.s3-website-us-east-1.amazonaws.com/1372679/p/IMG_5783.jpeg", "View")</f>
        <v>View</v>
      </c>
      <c r="F304" t="s">
        <v>17</v>
      </c>
      <c r="G304" t="s">
        <v>18</v>
      </c>
      <c r="H304">
        <v>324726</v>
      </c>
      <c r="I304" t="str">
        <f t="shared" si="13"/>
        <v>View</v>
      </c>
      <c r="J304" t="s">
        <v>17</v>
      </c>
      <c r="K304" t="s">
        <v>21</v>
      </c>
      <c r="L304">
        <v>324726</v>
      </c>
      <c r="M304">
        <v>64.569999999999993</v>
      </c>
      <c r="N304">
        <v>100</v>
      </c>
      <c r="P304">
        <v>1</v>
      </c>
    </row>
    <row r="305" spans="1:16" x14ac:dyDescent="0.3">
      <c r="A305">
        <v>303</v>
      </c>
      <c r="B305" t="str">
        <f>HYPERLINK("https://imapinvasives.natureserve.org/imap/services/page/Presence/1285215.html", "View")</f>
        <v>View</v>
      </c>
      <c r="C305">
        <v>1285215</v>
      </c>
      <c r="D305">
        <v>1294850</v>
      </c>
      <c r="E305" t="str">
        <f>HYPERLINK("http://imap3images.s3-website-us-east-1.amazonaws.com/1294850/p/inat_photo_219500769.jpg", "View")</f>
        <v>View</v>
      </c>
      <c r="F305" t="s">
        <v>17</v>
      </c>
      <c r="G305" t="s">
        <v>18</v>
      </c>
      <c r="H305">
        <v>324726</v>
      </c>
      <c r="I305" t="str">
        <f t="shared" si="13"/>
        <v>View</v>
      </c>
      <c r="J305" t="s">
        <v>17</v>
      </c>
      <c r="K305" t="s">
        <v>21</v>
      </c>
      <c r="L305">
        <v>324726</v>
      </c>
      <c r="M305">
        <v>81.28</v>
      </c>
      <c r="N305">
        <v>98.86</v>
      </c>
      <c r="P305">
        <v>1</v>
      </c>
    </row>
    <row r="306" spans="1:16" x14ac:dyDescent="0.3">
      <c r="A306">
        <v>304</v>
      </c>
      <c r="B306" t="str">
        <f>HYPERLINK("https://imapinvasives.natureserve.org/imap/services/page/Presence/1290159.html", "View")</f>
        <v>View</v>
      </c>
      <c r="C306">
        <v>1290159</v>
      </c>
      <c r="D306">
        <v>1300343</v>
      </c>
      <c r="E306" t="str">
        <f>HYPERLINK("http://imap3images.s3-website-us-east-1.amazonaws.com/1300343/p/inat_photo_226168913.jpg", "View")</f>
        <v>View</v>
      </c>
      <c r="F306" t="s">
        <v>17</v>
      </c>
      <c r="G306" t="s">
        <v>18</v>
      </c>
      <c r="H306">
        <v>324726</v>
      </c>
      <c r="I306" t="str">
        <f t="shared" si="13"/>
        <v>View</v>
      </c>
      <c r="J306" t="s">
        <v>17</v>
      </c>
      <c r="K306" t="s">
        <v>21</v>
      </c>
      <c r="L306">
        <v>324726</v>
      </c>
      <c r="M306">
        <v>81.28</v>
      </c>
      <c r="N306">
        <v>99.38</v>
      </c>
      <c r="P306">
        <v>1</v>
      </c>
    </row>
    <row r="307" spans="1:16" x14ac:dyDescent="0.3">
      <c r="A307">
        <v>305</v>
      </c>
      <c r="B307" t="str">
        <f>HYPERLINK("https://imapinvasives.natureserve.org/imap/services/page/Presence/1309190.html", "View")</f>
        <v>View</v>
      </c>
      <c r="C307">
        <v>1309190</v>
      </c>
      <c r="D307">
        <v>1319723</v>
      </c>
      <c r="E307" t="str">
        <f>HYPERLINK("http://imap3images.s3-website-us-east-1.amazonaws.com/1319723/p/inat_photo_245550945.jpg", "View")</f>
        <v>View</v>
      </c>
      <c r="F307" t="s">
        <v>17</v>
      </c>
      <c r="G307" t="s">
        <v>18</v>
      </c>
      <c r="H307">
        <v>324726</v>
      </c>
      <c r="I307" t="str">
        <f t="shared" si="13"/>
        <v>View</v>
      </c>
      <c r="J307" t="s">
        <v>17</v>
      </c>
      <c r="K307" t="s">
        <v>21</v>
      </c>
      <c r="L307">
        <v>324726</v>
      </c>
      <c r="M307">
        <v>64.569999999999993</v>
      </c>
      <c r="N307">
        <v>99.33</v>
      </c>
      <c r="P307">
        <v>1</v>
      </c>
    </row>
    <row r="308" spans="1:16" x14ac:dyDescent="0.3">
      <c r="A308">
        <v>306</v>
      </c>
      <c r="B308" t="str">
        <f>HYPERLINK("https://imapinvasives.natureserve.org/imap/services/page/Presence/1355046.html", "View")</f>
        <v>View</v>
      </c>
      <c r="C308">
        <v>1355046</v>
      </c>
      <c r="D308">
        <v>1372678</v>
      </c>
      <c r="E308" t="str">
        <f>HYPERLINK("http://imap3images.s3-website-us-east-1.amazonaws.com/1372678/p/IMG_8099.jpeg", "View")</f>
        <v>View</v>
      </c>
      <c r="F308" t="s">
        <v>17</v>
      </c>
      <c r="G308" t="s">
        <v>18</v>
      </c>
      <c r="H308">
        <v>324726</v>
      </c>
      <c r="I308" t="str">
        <f t="shared" si="13"/>
        <v>View</v>
      </c>
      <c r="J308" t="s">
        <v>17</v>
      </c>
      <c r="K308" t="s">
        <v>21</v>
      </c>
      <c r="L308">
        <v>324726</v>
      </c>
      <c r="M308">
        <v>81.28</v>
      </c>
      <c r="N308">
        <v>99.94</v>
      </c>
      <c r="P308">
        <v>1</v>
      </c>
    </row>
    <row r="309" spans="1:16" x14ac:dyDescent="0.3">
      <c r="A309">
        <v>307</v>
      </c>
      <c r="B309" t="str">
        <f>HYPERLINK("https://imapinvasives.natureserve.org/imap/services/page/Presence/1413867.html", "View")</f>
        <v>View</v>
      </c>
      <c r="C309">
        <v>1413867</v>
      </c>
      <c r="D309">
        <v>1427366</v>
      </c>
      <c r="E309" t="str">
        <f>HYPERLINK("http://imap3images.s3-website-us-east-1.amazonaws.com/1427366/p/imap_app_photo_1719692906951.jpg", "View")</f>
        <v>View</v>
      </c>
      <c r="F309" t="s">
        <v>17</v>
      </c>
      <c r="G309" t="s">
        <v>18</v>
      </c>
      <c r="H309">
        <v>324726</v>
      </c>
      <c r="I309" t="str">
        <f t="shared" si="13"/>
        <v>View</v>
      </c>
      <c r="J309" t="s">
        <v>17</v>
      </c>
      <c r="K309" t="s">
        <v>21</v>
      </c>
      <c r="L309">
        <v>324726</v>
      </c>
      <c r="M309">
        <v>81.28</v>
      </c>
      <c r="N309">
        <v>94.79</v>
      </c>
      <c r="P309">
        <v>1</v>
      </c>
    </row>
    <row r="310" spans="1:16" x14ac:dyDescent="0.3">
      <c r="A310">
        <v>308</v>
      </c>
      <c r="B310" t="str">
        <f>HYPERLINK("https://imapinvasives.natureserve.org/imap/services/page/Presence/1337436.html", "View")</f>
        <v>View</v>
      </c>
      <c r="C310">
        <v>1337436</v>
      </c>
      <c r="D310">
        <v>1351968</v>
      </c>
      <c r="E310" t="str">
        <f>HYPERLINK("http://imap3images.s3-website-us-east-1.amazonaws.com/1351968/p/inat_photo_293670358.jpg", "View")</f>
        <v>View</v>
      </c>
      <c r="F310" t="s">
        <v>17</v>
      </c>
      <c r="G310" t="s">
        <v>18</v>
      </c>
      <c r="H310">
        <v>324726</v>
      </c>
      <c r="I310" t="str">
        <f t="shared" si="13"/>
        <v>View</v>
      </c>
      <c r="J310" t="s">
        <v>17</v>
      </c>
      <c r="K310" t="s">
        <v>21</v>
      </c>
      <c r="L310">
        <v>324726</v>
      </c>
      <c r="M310">
        <v>81.28</v>
      </c>
      <c r="N310">
        <v>99.89</v>
      </c>
      <c r="P310">
        <v>1</v>
      </c>
    </row>
    <row r="311" spans="1:16" x14ac:dyDescent="0.3">
      <c r="A311">
        <v>309</v>
      </c>
      <c r="B311" t="str">
        <f>HYPERLINK("https://imapinvasives.natureserve.org/imap/services/page/Presence/1283528.html", "View")</f>
        <v>View</v>
      </c>
      <c r="C311">
        <v>1283528</v>
      </c>
      <c r="D311">
        <v>1293034</v>
      </c>
      <c r="E311" t="str">
        <f>HYPERLINK("http://imap3images.s3-website-us-east-1.amazonaws.com/1293034/p/inat_photo_215938076.jpg", "View")</f>
        <v>View</v>
      </c>
      <c r="F311" t="s">
        <v>17</v>
      </c>
      <c r="G311" t="s">
        <v>18</v>
      </c>
      <c r="H311">
        <v>324726</v>
      </c>
      <c r="I311" t="str">
        <f t="shared" si="13"/>
        <v>View</v>
      </c>
      <c r="J311" t="s">
        <v>17</v>
      </c>
      <c r="K311" t="s">
        <v>21</v>
      </c>
      <c r="L311">
        <v>324726</v>
      </c>
      <c r="M311">
        <v>81.28</v>
      </c>
      <c r="N311">
        <v>99.87</v>
      </c>
      <c r="P311">
        <v>1</v>
      </c>
    </row>
    <row r="312" spans="1:16" x14ac:dyDescent="0.3">
      <c r="A312">
        <v>310</v>
      </c>
      <c r="B312" t="str">
        <f>HYPERLINK("https://imapinvasives.natureserve.org/imap/services/page/Presence/1284797.html", "View")</f>
        <v>View</v>
      </c>
      <c r="C312">
        <v>1284797</v>
      </c>
      <c r="D312">
        <v>1294377</v>
      </c>
      <c r="E312" t="str">
        <f>HYPERLINK("http://imap3images.s3-website-us-east-1.amazonaws.com/1294377/p/inat_photo_219024397.jpg", "View")</f>
        <v>View</v>
      </c>
      <c r="F312" t="s">
        <v>17</v>
      </c>
      <c r="G312" t="s">
        <v>18</v>
      </c>
      <c r="H312">
        <v>324726</v>
      </c>
      <c r="I312" t="str">
        <f t="shared" si="13"/>
        <v>View</v>
      </c>
      <c r="J312" t="s">
        <v>17</v>
      </c>
      <c r="K312" t="s">
        <v>21</v>
      </c>
      <c r="L312">
        <v>324726</v>
      </c>
      <c r="M312">
        <v>64.569999999999993</v>
      </c>
      <c r="N312">
        <v>99.77</v>
      </c>
      <c r="P312">
        <v>1</v>
      </c>
    </row>
    <row r="313" spans="1:16" x14ac:dyDescent="0.3">
      <c r="A313">
        <v>311</v>
      </c>
      <c r="B313" t="str">
        <f>HYPERLINK("https://imapinvasives.natureserve.org/imap/services/page/Presence/1291781.html", "View")</f>
        <v>View</v>
      </c>
      <c r="C313">
        <v>1291781</v>
      </c>
      <c r="D313">
        <v>1301985</v>
      </c>
      <c r="E313" t="str">
        <f>HYPERLINK("http://imap3images.s3-website-us-east-1.amazonaws.com/1301985/p/inat_photo_229288260.jpg", "View")</f>
        <v>View</v>
      </c>
      <c r="F313" t="s">
        <v>17</v>
      </c>
      <c r="G313" t="s">
        <v>18</v>
      </c>
      <c r="H313">
        <v>324726</v>
      </c>
      <c r="I313" t="str">
        <f t="shared" si="13"/>
        <v>View</v>
      </c>
      <c r="J313" t="s">
        <v>17</v>
      </c>
      <c r="K313" t="s">
        <v>21</v>
      </c>
      <c r="L313">
        <v>324726</v>
      </c>
      <c r="M313">
        <v>81.28</v>
      </c>
      <c r="N313">
        <v>99.99</v>
      </c>
      <c r="P313">
        <v>1</v>
      </c>
    </row>
    <row r="314" spans="1:16" x14ac:dyDescent="0.3">
      <c r="A314">
        <v>312</v>
      </c>
      <c r="B314" t="str">
        <f>HYPERLINK("https://imapinvasives.natureserve.org/imap/services/page/Presence/1304334.html", "View")</f>
        <v>View</v>
      </c>
      <c r="C314">
        <v>1304334</v>
      </c>
      <c r="D314">
        <v>1314756</v>
      </c>
      <c r="E314" t="str">
        <f>HYPERLINK("http://imap3images.s3-website-us-east-1.amazonaws.com/1314756/p/SLF_millwood_10_31_2022.jpg", "View")</f>
        <v>View</v>
      </c>
      <c r="F314" t="s">
        <v>17</v>
      </c>
      <c r="G314" t="s">
        <v>18</v>
      </c>
      <c r="H314">
        <v>324726</v>
      </c>
      <c r="I314" t="str">
        <f t="shared" si="13"/>
        <v>View</v>
      </c>
      <c r="J314" t="s">
        <v>17</v>
      </c>
      <c r="K314" t="s">
        <v>21</v>
      </c>
      <c r="L314">
        <v>324726</v>
      </c>
      <c r="M314">
        <v>64.569999999999993</v>
      </c>
      <c r="N314">
        <v>99.95</v>
      </c>
      <c r="P314">
        <v>1</v>
      </c>
    </row>
    <row r="315" spans="1:16" x14ac:dyDescent="0.3">
      <c r="A315">
        <v>313</v>
      </c>
      <c r="B315" t="str">
        <f>HYPERLINK("https://imapinvasives.natureserve.org/imap/services/page/Presence/1285506.html", "View")</f>
        <v>View</v>
      </c>
      <c r="C315">
        <v>1285506</v>
      </c>
      <c r="D315">
        <v>1295142</v>
      </c>
      <c r="E315" t="str">
        <f>HYPERLINK("http://imap3images.s3-website-us-east-1.amazonaws.com/1295142/p/inat_photo_220834350.jpg", "View")</f>
        <v>View</v>
      </c>
      <c r="F315" t="s">
        <v>17</v>
      </c>
      <c r="G315" t="s">
        <v>18</v>
      </c>
      <c r="H315">
        <v>324726</v>
      </c>
      <c r="I315" t="str">
        <f t="shared" si="13"/>
        <v>View</v>
      </c>
      <c r="J315" t="s">
        <v>17</v>
      </c>
      <c r="K315" t="s">
        <v>21</v>
      </c>
      <c r="L315">
        <v>324726</v>
      </c>
      <c r="M315">
        <v>81.28</v>
      </c>
      <c r="N315">
        <v>99.87</v>
      </c>
      <c r="P315">
        <v>1</v>
      </c>
    </row>
    <row r="316" spans="1:16" x14ac:dyDescent="0.3">
      <c r="A316">
        <v>314</v>
      </c>
      <c r="B316" t="str">
        <f>HYPERLINK("https://imapinvasives.natureserve.org/imap/services/page/Presence/1337440.html", "View")</f>
        <v>View</v>
      </c>
      <c r="C316">
        <v>1337440</v>
      </c>
      <c r="D316">
        <v>1351972</v>
      </c>
      <c r="E316" t="str">
        <f>HYPERLINK("http://imap3images.s3-website-us-east-1.amazonaws.com/1351972/p/inat_photo_294127261.jpg", "View")</f>
        <v>View</v>
      </c>
      <c r="F316" t="s">
        <v>17</v>
      </c>
      <c r="G316" t="s">
        <v>18</v>
      </c>
      <c r="H316">
        <v>324726</v>
      </c>
      <c r="I316" t="str">
        <f t="shared" si="13"/>
        <v>View</v>
      </c>
      <c r="J316" t="s">
        <v>17</v>
      </c>
      <c r="K316" t="s">
        <v>21</v>
      </c>
      <c r="L316">
        <v>324726</v>
      </c>
      <c r="M316">
        <v>81.28</v>
      </c>
      <c r="N316">
        <v>99.91</v>
      </c>
      <c r="P316">
        <v>1</v>
      </c>
    </row>
    <row r="317" spans="1:16" x14ac:dyDescent="0.3">
      <c r="A317">
        <v>315</v>
      </c>
      <c r="B317" t="str">
        <f>HYPERLINK("https://imapinvasives.natureserve.org/imap/services/page/Presence/1323838.html", "View")</f>
        <v>View</v>
      </c>
      <c r="C317">
        <v>1323838</v>
      </c>
      <c r="D317">
        <v>1336474</v>
      </c>
      <c r="E317" t="str">
        <f>HYPERLINK("http://imap3images.s3-website-us-east-1.amazonaws.com/1336474/p/inat_photo_249510758.jpg", "View")</f>
        <v>View</v>
      </c>
      <c r="F317" t="s">
        <v>17</v>
      </c>
      <c r="G317" t="s">
        <v>18</v>
      </c>
      <c r="H317">
        <v>324726</v>
      </c>
      <c r="I317" t="str">
        <f t="shared" si="13"/>
        <v>View</v>
      </c>
      <c r="J317" t="s">
        <v>17</v>
      </c>
      <c r="K317" t="s">
        <v>21</v>
      </c>
      <c r="L317">
        <v>324726</v>
      </c>
      <c r="M317">
        <v>81.28</v>
      </c>
      <c r="N317">
        <v>99.86</v>
      </c>
      <c r="P317">
        <v>1</v>
      </c>
    </row>
    <row r="318" spans="1:16" x14ac:dyDescent="0.3">
      <c r="A318">
        <v>316</v>
      </c>
      <c r="B318" t="str">
        <f>HYPERLINK("https://imapinvasives.natureserve.org/imap/services/page/Presence/1180111.html", "View")</f>
        <v>View</v>
      </c>
      <c r="C318">
        <v>1180111</v>
      </c>
      <c r="D318">
        <v>1187959</v>
      </c>
      <c r="E318" t="str">
        <f>HYPERLINK("http://imap3images.s3-website-us-east-1.amazonaws.com/1187959/p/inat_photo_167645921.jpg", "View")</f>
        <v>View</v>
      </c>
      <c r="F318" t="s">
        <v>17</v>
      </c>
      <c r="G318" t="s">
        <v>18</v>
      </c>
      <c r="H318">
        <v>324726</v>
      </c>
      <c r="I318" t="str">
        <f t="shared" si="13"/>
        <v>View</v>
      </c>
      <c r="J318" t="s">
        <v>17</v>
      </c>
      <c r="K318" t="s">
        <v>21</v>
      </c>
      <c r="L318">
        <v>324726</v>
      </c>
      <c r="M318">
        <v>81.28</v>
      </c>
      <c r="N318">
        <v>65.69</v>
      </c>
      <c r="P318">
        <v>1</v>
      </c>
    </row>
    <row r="319" spans="1:16" x14ac:dyDescent="0.3">
      <c r="A319">
        <v>317</v>
      </c>
      <c r="B319" t="str">
        <f>HYPERLINK("https://imapinvasives.natureserve.org/imap/services/page/Presence/1435173.html", "View")</f>
        <v>View</v>
      </c>
      <c r="C319">
        <v>1435173</v>
      </c>
      <c r="D319">
        <v>1448868</v>
      </c>
      <c r="E319" t="str">
        <f>HYPERLINK("http://imap3images.s3-website-us-east-1.amazonaws.com/1448868/p/imap_app_photo_1721262535446.jpg", "View")</f>
        <v>View</v>
      </c>
      <c r="F319" t="s">
        <v>17</v>
      </c>
      <c r="G319" t="s">
        <v>18</v>
      </c>
      <c r="H319">
        <v>324726</v>
      </c>
      <c r="I319" t="str">
        <f t="shared" si="13"/>
        <v>View</v>
      </c>
      <c r="J319" t="s">
        <v>17</v>
      </c>
      <c r="K319" t="s">
        <v>21</v>
      </c>
      <c r="L319">
        <v>324726</v>
      </c>
      <c r="M319">
        <v>64.569999999999993</v>
      </c>
      <c r="N319">
        <v>99.36</v>
      </c>
      <c r="P319">
        <v>1</v>
      </c>
    </row>
    <row r="320" spans="1:16" x14ac:dyDescent="0.3">
      <c r="A320">
        <v>318</v>
      </c>
      <c r="B320" t="str">
        <f>HYPERLINK("https://imapinvasives.natureserve.org/imap/services/page/Presence/1281417.html", "View")</f>
        <v>View</v>
      </c>
      <c r="C320">
        <v>1281417</v>
      </c>
      <c r="D320">
        <v>1290831</v>
      </c>
      <c r="E320" t="str">
        <f>HYPERLINK("http://imap3images.s3-website-us-east-1.amazonaws.com/1290831/p/imap_app_photo_1657125920654.jpg", "View")</f>
        <v>View</v>
      </c>
      <c r="F320" t="s">
        <v>17</v>
      </c>
      <c r="G320" t="s">
        <v>18</v>
      </c>
      <c r="H320">
        <v>324726</v>
      </c>
      <c r="I320" t="str">
        <f t="shared" si="13"/>
        <v>View</v>
      </c>
      <c r="J320" t="s">
        <v>17</v>
      </c>
      <c r="K320" t="s">
        <v>21</v>
      </c>
      <c r="L320">
        <v>324726</v>
      </c>
      <c r="M320">
        <v>3.27</v>
      </c>
      <c r="N320">
        <v>68.3</v>
      </c>
      <c r="P320">
        <v>1</v>
      </c>
    </row>
    <row r="321" spans="1:16" x14ac:dyDescent="0.3">
      <c r="A321">
        <v>319</v>
      </c>
      <c r="B321" t="str">
        <f>HYPERLINK("https://imapinvasives.natureserve.org/imap/services/page/Presence/1163638.html", "View")</f>
        <v>View</v>
      </c>
      <c r="C321">
        <v>1163638</v>
      </c>
      <c r="D321">
        <v>1170854</v>
      </c>
      <c r="E321" t="str">
        <f>HYPERLINK("http://imap3images.s3-website-us-east-1.amazonaws.com/1170854/p/inat_photo_157403692.jpg", "View")</f>
        <v>View</v>
      </c>
      <c r="F321" t="s">
        <v>17</v>
      </c>
      <c r="G321" t="s">
        <v>18</v>
      </c>
      <c r="H321">
        <v>324726</v>
      </c>
      <c r="I321" t="str">
        <f t="shared" si="13"/>
        <v>View</v>
      </c>
      <c r="J321" t="s">
        <v>17</v>
      </c>
      <c r="K321" t="s">
        <v>21</v>
      </c>
      <c r="L321">
        <v>324726</v>
      </c>
      <c r="M321">
        <v>89.66</v>
      </c>
      <c r="N321">
        <v>99.83</v>
      </c>
      <c r="P321">
        <v>1</v>
      </c>
    </row>
    <row r="322" spans="1:16" x14ac:dyDescent="0.3">
      <c r="A322">
        <v>320</v>
      </c>
      <c r="B322" t="str">
        <f>HYPERLINK("https://imapinvasives.natureserve.org/imap/services/page/Presence/1345660.html", "View")</f>
        <v>View</v>
      </c>
      <c r="C322">
        <v>1345660</v>
      </c>
      <c r="D322">
        <v>1361897</v>
      </c>
      <c r="E322" t="str">
        <f>HYPERLINK("http://imap3images.s3-website-us-east-1.amazonaws.com/1361897/p/inat_photo_306463244.jpg", "View")</f>
        <v>View</v>
      </c>
      <c r="F322" t="s">
        <v>17</v>
      </c>
      <c r="G322" t="s">
        <v>18</v>
      </c>
      <c r="H322">
        <v>324726</v>
      </c>
      <c r="I322" t="str">
        <f>HYPERLINK("https://www.inaturalist.org/taxa/57278-Ailanthus-altissima", "View")</f>
        <v>View</v>
      </c>
      <c r="J322" t="s">
        <v>28</v>
      </c>
      <c r="K322" t="s">
        <v>60</v>
      </c>
      <c r="L322">
        <v>57278</v>
      </c>
      <c r="M322">
        <v>80.14</v>
      </c>
      <c r="N322">
        <v>71.22</v>
      </c>
      <c r="P322">
        <v>0</v>
      </c>
    </row>
    <row r="323" spans="1:16" x14ac:dyDescent="0.3">
      <c r="A323">
        <v>321</v>
      </c>
      <c r="B323" t="str">
        <f>HYPERLINK("https://imapinvasives.natureserve.org/imap/services/page/Presence/1160796.html", "View")</f>
        <v>View</v>
      </c>
      <c r="C323">
        <v>1160796</v>
      </c>
      <c r="D323">
        <v>1167935</v>
      </c>
      <c r="E323" t="str">
        <f>HYPERLINK("http://imap3images.s3-website-us-east-1.amazonaws.com/1167935/p/inat_photo_154144256.jpg", "View")</f>
        <v>View</v>
      </c>
      <c r="F323" t="s">
        <v>17</v>
      </c>
      <c r="G323" t="s">
        <v>18</v>
      </c>
      <c r="H323">
        <v>324726</v>
      </c>
      <c r="I323" t="str">
        <f t="shared" ref="I323:I369" si="14">HYPERLINK("https://www.inaturalist.org/taxa/324726-Lycorma-delicatula", "View")</f>
        <v>View</v>
      </c>
      <c r="J323" t="s">
        <v>17</v>
      </c>
      <c r="K323" t="s">
        <v>21</v>
      </c>
      <c r="L323">
        <v>324726</v>
      </c>
      <c r="M323">
        <v>81.28</v>
      </c>
      <c r="N323">
        <v>99.94</v>
      </c>
      <c r="P323">
        <v>1</v>
      </c>
    </row>
    <row r="324" spans="1:16" x14ac:dyDescent="0.3">
      <c r="A324">
        <v>322</v>
      </c>
      <c r="B324" t="str">
        <f>HYPERLINK("https://imapinvasives.natureserve.org/imap/services/page/Presence/1249218.html", "View")</f>
        <v>View</v>
      </c>
      <c r="C324">
        <v>1249218</v>
      </c>
      <c r="D324">
        <v>1257373</v>
      </c>
      <c r="E324" t="str">
        <f>HYPERLINK("http://imap3images.s3-website-us-east-1.amazonaws.com/1257373/p/inat_photo_175415511.jpg", "View")</f>
        <v>View</v>
      </c>
      <c r="F324" t="s">
        <v>17</v>
      </c>
      <c r="G324" t="s">
        <v>18</v>
      </c>
      <c r="H324">
        <v>324726</v>
      </c>
      <c r="I324" t="str">
        <f t="shared" si="14"/>
        <v>View</v>
      </c>
      <c r="J324" t="s">
        <v>17</v>
      </c>
      <c r="K324" t="s">
        <v>21</v>
      </c>
      <c r="L324">
        <v>324726</v>
      </c>
      <c r="M324">
        <v>89.66</v>
      </c>
      <c r="N324">
        <v>87.52</v>
      </c>
      <c r="P324">
        <v>1</v>
      </c>
    </row>
    <row r="325" spans="1:16" x14ac:dyDescent="0.3">
      <c r="A325">
        <v>323</v>
      </c>
      <c r="B325" t="str">
        <f>HYPERLINK("https://imapinvasives.natureserve.org/imap/services/page/Presence/1249197.html", "View")</f>
        <v>View</v>
      </c>
      <c r="C325">
        <v>1249197</v>
      </c>
      <c r="D325">
        <v>1257352</v>
      </c>
      <c r="E325" t="str">
        <f>HYPERLINK("http://imap3images.s3-website-us-east-1.amazonaws.com/1257352/p/inat_photo_168382521.jpg", "View")</f>
        <v>View</v>
      </c>
      <c r="F325" t="s">
        <v>17</v>
      </c>
      <c r="G325" t="s">
        <v>18</v>
      </c>
      <c r="H325">
        <v>324726</v>
      </c>
      <c r="I325" t="str">
        <f t="shared" si="14"/>
        <v>View</v>
      </c>
      <c r="J325" t="s">
        <v>17</v>
      </c>
      <c r="K325" t="s">
        <v>21</v>
      </c>
      <c r="L325">
        <v>324726</v>
      </c>
      <c r="M325">
        <v>81.28</v>
      </c>
      <c r="N325">
        <v>92.36</v>
      </c>
      <c r="P325">
        <v>1</v>
      </c>
    </row>
    <row r="326" spans="1:16" x14ac:dyDescent="0.3">
      <c r="A326">
        <v>324</v>
      </c>
      <c r="B326" t="str">
        <f>HYPERLINK("https://imapinvasives.natureserve.org/imap/services/page/Presence/1291783.html", "View")</f>
        <v>View</v>
      </c>
      <c r="C326">
        <v>1291783</v>
      </c>
      <c r="D326">
        <v>1301987</v>
      </c>
      <c r="E326" t="str">
        <f>HYPERLINK("http://imap3images.s3-website-us-east-1.amazonaws.com/1301987/p/inat_photo_229570872.jpg", "View")</f>
        <v>View</v>
      </c>
      <c r="F326" t="s">
        <v>17</v>
      </c>
      <c r="G326" t="s">
        <v>18</v>
      </c>
      <c r="H326">
        <v>324726</v>
      </c>
      <c r="I326" t="str">
        <f t="shared" si="14"/>
        <v>View</v>
      </c>
      <c r="J326" t="s">
        <v>17</v>
      </c>
      <c r="K326" t="s">
        <v>21</v>
      </c>
      <c r="L326">
        <v>324726</v>
      </c>
      <c r="M326">
        <v>76.7</v>
      </c>
      <c r="N326">
        <v>99.74</v>
      </c>
      <c r="P326">
        <v>1</v>
      </c>
    </row>
    <row r="327" spans="1:16" x14ac:dyDescent="0.3">
      <c r="A327">
        <v>325</v>
      </c>
      <c r="B327" t="str">
        <f>HYPERLINK("https://imapinvasives.natureserve.org/imap/services/page/Presence/1153641.html", "View")</f>
        <v>View</v>
      </c>
      <c r="C327">
        <v>1153641</v>
      </c>
      <c r="D327">
        <v>1160626</v>
      </c>
      <c r="E327" t="str">
        <f>HYPERLINK("http://imap3images.s3-website-us-east-1.amazonaws.com/1160626/p/inat_photo_148094656.jpg", "View")</f>
        <v>View</v>
      </c>
      <c r="F327" t="s">
        <v>17</v>
      </c>
      <c r="G327" t="s">
        <v>18</v>
      </c>
      <c r="H327">
        <v>324726</v>
      </c>
      <c r="I327" t="str">
        <f t="shared" si="14"/>
        <v>View</v>
      </c>
      <c r="J327" t="s">
        <v>17</v>
      </c>
      <c r="K327" t="s">
        <v>21</v>
      </c>
      <c r="L327">
        <v>324726</v>
      </c>
      <c r="M327">
        <v>89.66</v>
      </c>
      <c r="N327">
        <v>99.45</v>
      </c>
      <c r="P327">
        <v>1</v>
      </c>
    </row>
    <row r="328" spans="1:16" x14ac:dyDescent="0.3">
      <c r="A328">
        <v>326</v>
      </c>
      <c r="B328" t="str">
        <f>HYPERLINK("https://imapinvasives.natureserve.org/imap/services/page/Presence/1308939.html", "View")</f>
        <v>View</v>
      </c>
      <c r="C328">
        <v>1308939</v>
      </c>
      <c r="D328">
        <v>1319422</v>
      </c>
      <c r="E328" t="str">
        <f>HYPERLINK("http://imap3images.s3-website-us-east-1.amazonaws.com/1319422/p/inat_photo_242213083.jpg", "View")</f>
        <v>View</v>
      </c>
      <c r="F328" t="s">
        <v>17</v>
      </c>
      <c r="G328" t="s">
        <v>18</v>
      </c>
      <c r="H328">
        <v>324726</v>
      </c>
      <c r="I328" t="str">
        <f t="shared" si="14"/>
        <v>View</v>
      </c>
      <c r="J328" t="s">
        <v>17</v>
      </c>
      <c r="K328" t="s">
        <v>21</v>
      </c>
      <c r="L328">
        <v>324726</v>
      </c>
      <c r="M328">
        <v>76.52</v>
      </c>
      <c r="N328">
        <v>99.83</v>
      </c>
      <c r="P328">
        <v>1</v>
      </c>
    </row>
    <row r="329" spans="1:16" x14ac:dyDescent="0.3">
      <c r="A329">
        <v>327</v>
      </c>
      <c r="B329" t="str">
        <f>HYPERLINK("https://imapinvasives.natureserve.org/imap/services/page/Presence/1159080.html", "View")</f>
        <v>View</v>
      </c>
      <c r="C329">
        <v>1159080</v>
      </c>
      <c r="D329">
        <v>1166156</v>
      </c>
      <c r="E329" t="str">
        <f>HYPERLINK("http://imap3images.s3-website-us-east-1.amazonaws.com/1166156/p/inat_photo_151031531.jpg", "View")</f>
        <v>View</v>
      </c>
      <c r="F329" t="s">
        <v>17</v>
      </c>
      <c r="G329" t="s">
        <v>18</v>
      </c>
      <c r="H329">
        <v>324726</v>
      </c>
      <c r="I329" t="str">
        <f t="shared" si="14"/>
        <v>View</v>
      </c>
      <c r="J329" t="s">
        <v>17</v>
      </c>
      <c r="K329" t="s">
        <v>21</v>
      </c>
      <c r="L329">
        <v>324726</v>
      </c>
      <c r="M329">
        <v>81.28</v>
      </c>
      <c r="N329">
        <v>99.7</v>
      </c>
      <c r="P329">
        <v>1</v>
      </c>
    </row>
    <row r="330" spans="1:16" x14ac:dyDescent="0.3">
      <c r="A330">
        <v>328</v>
      </c>
      <c r="B330" t="str">
        <f>HYPERLINK("https://imapinvasives.natureserve.org/imap/services/page/Presence/1309162.html", "View")</f>
        <v>View</v>
      </c>
      <c r="C330">
        <v>1309162</v>
      </c>
      <c r="D330">
        <v>1319695</v>
      </c>
      <c r="E330" t="str">
        <f>HYPERLINK("http://imap3images.s3-website-us-east-1.amazonaws.com/1319695/p/imap_app_photo_1670272229024.jpg", "View")</f>
        <v>View</v>
      </c>
      <c r="F330" t="s">
        <v>17</v>
      </c>
      <c r="G330" t="s">
        <v>18</v>
      </c>
      <c r="H330">
        <v>324726</v>
      </c>
      <c r="I330" t="str">
        <f t="shared" si="14"/>
        <v>View</v>
      </c>
      <c r="J330" t="s">
        <v>17</v>
      </c>
      <c r="K330" t="s">
        <v>21</v>
      </c>
      <c r="L330">
        <v>324726</v>
      </c>
      <c r="M330">
        <v>64.569999999999993</v>
      </c>
      <c r="N330">
        <v>28.58</v>
      </c>
      <c r="P330">
        <v>1</v>
      </c>
    </row>
    <row r="331" spans="1:16" x14ac:dyDescent="0.3">
      <c r="A331">
        <v>329</v>
      </c>
      <c r="B331" t="str">
        <f>HYPERLINK("https://imapinvasives.natureserve.org/imap/services/page/Presence/1291884.html", "View")</f>
        <v>View</v>
      </c>
      <c r="C331">
        <v>1291884</v>
      </c>
      <c r="D331">
        <v>1302089</v>
      </c>
      <c r="E331" t="str">
        <f>HYPERLINK("http://imap3images.s3-website-us-east-1.amazonaws.com/1302089/p/imap_app_photo_1663075749746.jpg", "View")</f>
        <v>View</v>
      </c>
      <c r="F331" t="s">
        <v>17</v>
      </c>
      <c r="G331" t="s">
        <v>18</v>
      </c>
      <c r="H331">
        <v>324726</v>
      </c>
      <c r="I331" t="str">
        <f t="shared" si="14"/>
        <v>View</v>
      </c>
      <c r="J331" t="s">
        <v>17</v>
      </c>
      <c r="K331" t="s">
        <v>21</v>
      </c>
      <c r="L331">
        <v>324726</v>
      </c>
      <c r="M331">
        <v>81.28</v>
      </c>
      <c r="N331">
        <v>99.88</v>
      </c>
      <c r="P331">
        <v>1</v>
      </c>
    </row>
    <row r="332" spans="1:16" x14ac:dyDescent="0.3">
      <c r="A332">
        <v>330</v>
      </c>
      <c r="B332" t="str">
        <f>HYPERLINK("https://imapinvasives.natureserve.org/imap/services/page/Presence/1159067.html", "View")</f>
        <v>View</v>
      </c>
      <c r="C332">
        <v>1159067</v>
      </c>
      <c r="D332">
        <v>1166143</v>
      </c>
      <c r="E332" t="str">
        <f>HYPERLINK("http://imap3images.s3-website-us-east-1.amazonaws.com/1166143/p/inat_photo_150791983.jpg", "View")</f>
        <v>View</v>
      </c>
      <c r="F332" t="s">
        <v>17</v>
      </c>
      <c r="G332" t="s">
        <v>18</v>
      </c>
      <c r="H332">
        <v>324726</v>
      </c>
      <c r="I332" t="str">
        <f t="shared" si="14"/>
        <v>View</v>
      </c>
      <c r="J332" t="s">
        <v>17</v>
      </c>
      <c r="K332" t="s">
        <v>21</v>
      </c>
      <c r="L332">
        <v>324726</v>
      </c>
      <c r="M332">
        <v>89.66</v>
      </c>
      <c r="N332">
        <v>98.47</v>
      </c>
      <c r="P332">
        <v>1</v>
      </c>
    </row>
    <row r="333" spans="1:16" x14ac:dyDescent="0.3">
      <c r="A333">
        <v>331</v>
      </c>
      <c r="B333" t="str">
        <f>HYPERLINK("https://imapinvasives.natureserve.org/imap/services/page/Presence/1163370.html", "View")</f>
        <v>View</v>
      </c>
      <c r="C333">
        <v>1163370</v>
      </c>
      <c r="D333">
        <v>1170558</v>
      </c>
      <c r="E333" t="str">
        <f>HYPERLINK("http://imap3images.s3-website-us-east-1.amazonaws.com/1170558/p/inat_photo_157124842.jpg", "View")</f>
        <v>View</v>
      </c>
      <c r="F333" t="s">
        <v>17</v>
      </c>
      <c r="G333" t="s">
        <v>18</v>
      </c>
      <c r="H333">
        <v>324726</v>
      </c>
      <c r="I333" t="str">
        <f t="shared" si="14"/>
        <v>View</v>
      </c>
      <c r="J333" t="s">
        <v>17</v>
      </c>
      <c r="K333" t="s">
        <v>21</v>
      </c>
      <c r="L333">
        <v>324726</v>
      </c>
      <c r="M333">
        <v>81.28</v>
      </c>
      <c r="N333">
        <v>99.93</v>
      </c>
      <c r="P333">
        <v>1</v>
      </c>
    </row>
    <row r="334" spans="1:16" x14ac:dyDescent="0.3">
      <c r="A334">
        <v>332</v>
      </c>
      <c r="B334" t="str">
        <f>HYPERLINK("https://imapinvasives.natureserve.org/imap/services/page/Presence/1163961.html", "View")</f>
        <v>View</v>
      </c>
      <c r="C334">
        <v>1163961</v>
      </c>
      <c r="D334">
        <v>1171191</v>
      </c>
      <c r="E334" t="str">
        <f>HYPERLINK("http://imap3images.s3-website-us-east-1.amazonaws.com/1171191/p/inat_photo_157786152.jpg", "View")</f>
        <v>View</v>
      </c>
      <c r="F334" t="s">
        <v>17</v>
      </c>
      <c r="G334" t="s">
        <v>18</v>
      </c>
      <c r="H334">
        <v>324726</v>
      </c>
      <c r="I334" t="str">
        <f t="shared" si="14"/>
        <v>View</v>
      </c>
      <c r="J334" t="s">
        <v>17</v>
      </c>
      <c r="K334" t="s">
        <v>21</v>
      </c>
      <c r="L334">
        <v>324726</v>
      </c>
      <c r="M334">
        <v>81.28</v>
      </c>
      <c r="N334">
        <v>99.89</v>
      </c>
      <c r="P334">
        <v>1</v>
      </c>
    </row>
    <row r="335" spans="1:16" x14ac:dyDescent="0.3">
      <c r="A335">
        <v>333</v>
      </c>
      <c r="B335" t="str">
        <f>HYPERLINK("https://imapinvasives.natureserve.org/imap/services/page/Presence/1438703.html", "View")</f>
        <v>View</v>
      </c>
      <c r="C335">
        <v>1438703</v>
      </c>
      <c r="D335">
        <v>1452972</v>
      </c>
      <c r="E335" t="str">
        <f>HYPERLINK("http://imap3images.s3-website-us-east-1.amazonaws.com/1452972/p/IMG_20240804_110930.jpg", "View")</f>
        <v>View</v>
      </c>
      <c r="F335" t="s">
        <v>17</v>
      </c>
      <c r="G335" t="s">
        <v>18</v>
      </c>
      <c r="H335">
        <v>324726</v>
      </c>
      <c r="I335" t="str">
        <f t="shared" si="14"/>
        <v>View</v>
      </c>
      <c r="J335" t="s">
        <v>17</v>
      </c>
      <c r="K335" t="s">
        <v>21</v>
      </c>
      <c r="L335">
        <v>324726</v>
      </c>
      <c r="M335">
        <v>81.28</v>
      </c>
      <c r="N335">
        <v>99.96</v>
      </c>
      <c r="P335">
        <v>1</v>
      </c>
    </row>
    <row r="336" spans="1:16" x14ac:dyDescent="0.3">
      <c r="A336">
        <v>334</v>
      </c>
      <c r="B336" t="str">
        <f>HYPERLINK("https://imapinvasives.natureserve.org/imap/services/page/Presence/1350944.html", "View")</f>
        <v>View</v>
      </c>
      <c r="C336">
        <v>1350944</v>
      </c>
      <c r="D336">
        <v>1368215</v>
      </c>
      <c r="E336" t="str">
        <f>HYPERLINK("http://imap3images.s3-website-us-east-1.amazonaws.com/1368215/p/IMG_6024.jpeg", "View")</f>
        <v>View</v>
      </c>
      <c r="F336" t="s">
        <v>17</v>
      </c>
      <c r="G336" t="s">
        <v>18</v>
      </c>
      <c r="H336">
        <v>324726</v>
      </c>
      <c r="I336" t="str">
        <f t="shared" si="14"/>
        <v>View</v>
      </c>
      <c r="J336" t="s">
        <v>17</v>
      </c>
      <c r="K336" t="s">
        <v>21</v>
      </c>
      <c r="L336">
        <v>324726</v>
      </c>
      <c r="M336">
        <v>81.28</v>
      </c>
      <c r="N336">
        <v>99.78</v>
      </c>
      <c r="P336">
        <v>1</v>
      </c>
    </row>
    <row r="337" spans="1:16" x14ac:dyDescent="0.3">
      <c r="A337">
        <v>335</v>
      </c>
      <c r="B337" t="str">
        <f>HYPERLINK("https://imapinvasives.natureserve.org/imap/services/page/Presence/1355039.html", "View")</f>
        <v>View</v>
      </c>
      <c r="C337">
        <v>1355039</v>
      </c>
      <c r="D337">
        <v>1372671</v>
      </c>
      <c r="E337" t="str">
        <f>HYPERLINK("http://imap3images.s3-website-us-east-1.amazonaws.com/1372671/p/lanternfly_nymphs.jpg", "View")</f>
        <v>View</v>
      </c>
      <c r="F337" t="s">
        <v>17</v>
      </c>
      <c r="G337" t="s">
        <v>18</v>
      </c>
      <c r="H337">
        <v>324726</v>
      </c>
      <c r="I337" t="str">
        <f t="shared" si="14"/>
        <v>View</v>
      </c>
      <c r="J337" t="s">
        <v>17</v>
      </c>
      <c r="K337" t="s">
        <v>21</v>
      </c>
      <c r="L337">
        <v>324726</v>
      </c>
      <c r="M337">
        <v>81.28</v>
      </c>
      <c r="N337">
        <v>99.99</v>
      </c>
      <c r="P337">
        <v>1</v>
      </c>
    </row>
    <row r="338" spans="1:16" x14ac:dyDescent="0.3">
      <c r="A338">
        <v>336</v>
      </c>
      <c r="B338" t="str">
        <f>HYPERLINK("https://imapinvasives.natureserve.org/imap/services/page/Presence/1262108.html", "View")</f>
        <v>View</v>
      </c>
      <c r="C338">
        <v>1262108</v>
      </c>
      <c r="D338">
        <v>1270757</v>
      </c>
      <c r="E338" t="str">
        <f>HYPERLINK("http://imap3images.s3-website-us-east-1.amazonaws.com/1270757/p/inat_photo_183003228.jpg", "View")</f>
        <v>View</v>
      </c>
      <c r="F338" t="s">
        <v>17</v>
      </c>
      <c r="G338" t="s">
        <v>18</v>
      </c>
      <c r="H338">
        <v>324726</v>
      </c>
      <c r="I338" t="str">
        <f t="shared" si="14"/>
        <v>View</v>
      </c>
      <c r="J338" t="s">
        <v>17</v>
      </c>
      <c r="K338" t="s">
        <v>21</v>
      </c>
      <c r="L338">
        <v>324726</v>
      </c>
      <c r="M338">
        <v>89.66</v>
      </c>
      <c r="N338">
        <v>90.35</v>
      </c>
      <c r="P338">
        <v>1</v>
      </c>
    </row>
    <row r="339" spans="1:16" x14ac:dyDescent="0.3">
      <c r="A339">
        <v>337</v>
      </c>
      <c r="B339" t="str">
        <f>HYPERLINK("https://imapinvasives.natureserve.org/imap/services/page/Presence/1163957.html", "View")</f>
        <v>View</v>
      </c>
      <c r="C339">
        <v>1163957</v>
      </c>
      <c r="D339">
        <v>1171187</v>
      </c>
      <c r="E339" t="str">
        <f>HYPERLINK("http://imap3images.s3-website-us-east-1.amazonaws.com/1171187/p/inat_photo_157767346.jpg", "View")</f>
        <v>View</v>
      </c>
      <c r="F339" t="s">
        <v>17</v>
      </c>
      <c r="G339" t="s">
        <v>18</v>
      </c>
      <c r="H339">
        <v>324726</v>
      </c>
      <c r="I339" t="str">
        <f t="shared" si="14"/>
        <v>View</v>
      </c>
      <c r="J339" t="s">
        <v>17</v>
      </c>
      <c r="K339" t="s">
        <v>21</v>
      </c>
      <c r="L339">
        <v>324726</v>
      </c>
      <c r="M339">
        <v>89.66</v>
      </c>
      <c r="N339">
        <v>98.48</v>
      </c>
      <c r="P339">
        <v>1</v>
      </c>
    </row>
    <row r="340" spans="1:16" x14ac:dyDescent="0.3">
      <c r="A340">
        <v>338</v>
      </c>
      <c r="B340" t="str">
        <f>HYPERLINK("https://imapinvasives.natureserve.org/imap/services/page/Presence/1345683.html", "View")</f>
        <v>View</v>
      </c>
      <c r="C340">
        <v>1345683</v>
      </c>
      <c r="D340">
        <v>1361920</v>
      </c>
      <c r="E340" t="str">
        <f>HYPERLINK("http://imap3images.s3-website-us-east-1.amazonaws.com/1361920/p/inat_photo_308416489.jpg", "View")</f>
        <v>View</v>
      </c>
      <c r="F340" t="s">
        <v>17</v>
      </c>
      <c r="G340" t="s">
        <v>18</v>
      </c>
      <c r="H340">
        <v>324726</v>
      </c>
      <c r="I340" t="str">
        <f t="shared" si="14"/>
        <v>View</v>
      </c>
      <c r="J340" t="s">
        <v>17</v>
      </c>
      <c r="K340" t="s">
        <v>21</v>
      </c>
      <c r="L340">
        <v>324726</v>
      </c>
      <c r="M340">
        <v>64.569999999999993</v>
      </c>
      <c r="N340">
        <v>99.73</v>
      </c>
      <c r="P340">
        <v>1</v>
      </c>
    </row>
    <row r="341" spans="1:16" x14ac:dyDescent="0.3">
      <c r="A341">
        <v>339</v>
      </c>
      <c r="B341" t="str">
        <f>HYPERLINK("https://imapinvasives.natureserve.org/imap/services/page/Presence/1335248.html", "View")</f>
        <v>View</v>
      </c>
      <c r="C341">
        <v>1335248</v>
      </c>
      <c r="D341">
        <v>1349525</v>
      </c>
      <c r="E341" t="str">
        <f>HYPERLINK("http://imap3images.s3-website-us-east-1.amazonaws.com/1349525/p/inat_photo_286712731.jpg", "View")</f>
        <v>View</v>
      </c>
      <c r="F341" t="s">
        <v>17</v>
      </c>
      <c r="G341" t="s">
        <v>18</v>
      </c>
      <c r="H341">
        <v>324726</v>
      </c>
      <c r="I341" t="str">
        <f t="shared" si="14"/>
        <v>View</v>
      </c>
      <c r="J341" t="s">
        <v>17</v>
      </c>
      <c r="K341" t="s">
        <v>21</v>
      </c>
      <c r="L341">
        <v>324726</v>
      </c>
      <c r="M341">
        <v>81.28</v>
      </c>
      <c r="N341">
        <v>92.84</v>
      </c>
      <c r="P341">
        <v>1</v>
      </c>
    </row>
    <row r="342" spans="1:16" x14ac:dyDescent="0.3">
      <c r="A342">
        <v>340</v>
      </c>
      <c r="B342" t="str">
        <f>HYPERLINK("https://imapinvasives.natureserve.org/imap/services/page/Presence/1161146.html", "View")</f>
        <v>View</v>
      </c>
      <c r="C342">
        <v>1161146</v>
      </c>
      <c r="D342">
        <v>1168287</v>
      </c>
      <c r="E342" t="str">
        <f>HYPERLINK("http://imap3images.s3-website-us-east-1.amazonaws.com/1168287/p/inat_photo_154585808.jpg", "View")</f>
        <v>View</v>
      </c>
      <c r="F342" t="s">
        <v>17</v>
      </c>
      <c r="G342" t="s">
        <v>18</v>
      </c>
      <c r="H342">
        <v>324726</v>
      </c>
      <c r="I342" t="str">
        <f t="shared" si="14"/>
        <v>View</v>
      </c>
      <c r="J342" t="s">
        <v>17</v>
      </c>
      <c r="K342" t="s">
        <v>21</v>
      </c>
      <c r="L342">
        <v>324726</v>
      </c>
      <c r="M342">
        <v>89.66</v>
      </c>
      <c r="N342">
        <v>99.97</v>
      </c>
      <c r="P342">
        <v>1</v>
      </c>
    </row>
    <row r="343" spans="1:16" x14ac:dyDescent="0.3">
      <c r="A343">
        <v>341</v>
      </c>
      <c r="B343" t="str">
        <f>HYPERLINK("https://imapinvasives.natureserve.org/imap/services/page/Presence/1160751.html", "View")</f>
        <v>View</v>
      </c>
      <c r="C343">
        <v>1160751</v>
      </c>
      <c r="D343">
        <v>1167890</v>
      </c>
      <c r="E343" t="str">
        <f>HYPERLINK("http://imap3images.s3-website-us-east-1.amazonaws.com/1167890/p/inat_photo_153541636.jpg", "View")</f>
        <v>View</v>
      </c>
      <c r="F343" t="s">
        <v>17</v>
      </c>
      <c r="G343" t="s">
        <v>18</v>
      </c>
      <c r="H343">
        <v>324726</v>
      </c>
      <c r="I343" t="str">
        <f t="shared" si="14"/>
        <v>View</v>
      </c>
      <c r="J343" t="s">
        <v>17</v>
      </c>
      <c r="K343" t="s">
        <v>21</v>
      </c>
      <c r="L343">
        <v>324726</v>
      </c>
      <c r="M343">
        <v>89.66</v>
      </c>
      <c r="N343">
        <v>99.95</v>
      </c>
      <c r="P343">
        <v>1</v>
      </c>
    </row>
    <row r="344" spans="1:16" x14ac:dyDescent="0.3">
      <c r="A344">
        <v>342</v>
      </c>
      <c r="B344" t="str">
        <f>HYPERLINK("https://imapinvasives.natureserve.org/imap/services/page/Presence/1262104.html", "View")</f>
        <v>View</v>
      </c>
      <c r="C344">
        <v>1262104</v>
      </c>
      <c r="D344">
        <v>1270753</v>
      </c>
      <c r="E344" t="str">
        <f>HYPERLINK("http://imap3images.s3-website-us-east-1.amazonaws.com/1270753/p/inat_photo_179829675.jpg", "View")</f>
        <v>View</v>
      </c>
      <c r="F344" t="s">
        <v>17</v>
      </c>
      <c r="G344" t="s">
        <v>18</v>
      </c>
      <c r="H344">
        <v>324726</v>
      </c>
      <c r="I344" t="str">
        <f t="shared" si="14"/>
        <v>View</v>
      </c>
      <c r="J344" t="s">
        <v>17</v>
      </c>
      <c r="K344" t="s">
        <v>21</v>
      </c>
      <c r="L344">
        <v>324726</v>
      </c>
      <c r="M344">
        <v>89.66</v>
      </c>
      <c r="N344">
        <v>94.37</v>
      </c>
      <c r="P344">
        <v>1</v>
      </c>
    </row>
    <row r="345" spans="1:16" x14ac:dyDescent="0.3">
      <c r="A345">
        <v>343</v>
      </c>
      <c r="B345" t="str">
        <f>HYPERLINK("https://imapinvasives.natureserve.org/imap/services/page/Presence/1163822.html", "View")</f>
        <v>View</v>
      </c>
      <c r="C345">
        <v>1163822</v>
      </c>
      <c r="D345">
        <v>1171044</v>
      </c>
      <c r="E345" t="str">
        <f>HYPERLINK("http://imap3images.s3-website-us-east-1.amazonaws.com/1171044/p/inat_photo_157599455.jpg", "View")</f>
        <v>View</v>
      </c>
      <c r="F345" t="s">
        <v>17</v>
      </c>
      <c r="G345" t="s">
        <v>18</v>
      </c>
      <c r="H345">
        <v>324726</v>
      </c>
      <c r="I345" t="str">
        <f t="shared" si="14"/>
        <v>View</v>
      </c>
      <c r="J345" t="s">
        <v>17</v>
      </c>
      <c r="K345" t="s">
        <v>21</v>
      </c>
      <c r="L345">
        <v>324726</v>
      </c>
      <c r="M345">
        <v>89.66</v>
      </c>
      <c r="N345">
        <v>99.51</v>
      </c>
      <c r="P345">
        <v>1</v>
      </c>
    </row>
    <row r="346" spans="1:16" x14ac:dyDescent="0.3">
      <c r="A346">
        <v>344</v>
      </c>
      <c r="B346" t="str">
        <f>HYPERLINK("https://imapinvasives.natureserve.org/imap/services/page/Presence/1154070.html", "View")</f>
        <v>View</v>
      </c>
      <c r="C346">
        <v>1154070</v>
      </c>
      <c r="D346">
        <v>1161055</v>
      </c>
      <c r="E346" t="str">
        <f>HYPERLINK("http://imap3images.s3-website-us-east-1.amazonaws.com/1161055/p/inat_photo_148387786.jpg", "View")</f>
        <v>View</v>
      </c>
      <c r="F346" t="s">
        <v>17</v>
      </c>
      <c r="G346" t="s">
        <v>18</v>
      </c>
      <c r="H346">
        <v>324726</v>
      </c>
      <c r="I346" t="str">
        <f t="shared" si="14"/>
        <v>View</v>
      </c>
      <c r="J346" t="s">
        <v>17</v>
      </c>
      <c r="K346" t="s">
        <v>21</v>
      </c>
      <c r="L346">
        <v>324726</v>
      </c>
      <c r="M346">
        <v>81.28</v>
      </c>
      <c r="N346">
        <v>99.69</v>
      </c>
      <c r="P346">
        <v>1</v>
      </c>
    </row>
    <row r="347" spans="1:16" x14ac:dyDescent="0.3">
      <c r="A347">
        <v>345</v>
      </c>
      <c r="B347" t="str">
        <f>HYPERLINK("https://imapinvasives.natureserve.org/imap/services/page/Presence/1355277.html", "View")</f>
        <v>View</v>
      </c>
      <c r="C347">
        <v>1355277</v>
      </c>
      <c r="D347">
        <v>1372909</v>
      </c>
      <c r="E347" t="str">
        <f>HYPERLINK("http://imap3images.s3-website-us-east-1.amazonaws.com/1372909/p/IMG_2081.jpeg", "View")</f>
        <v>View</v>
      </c>
      <c r="F347" t="s">
        <v>17</v>
      </c>
      <c r="G347" t="s">
        <v>18</v>
      </c>
      <c r="H347">
        <v>324726</v>
      </c>
      <c r="I347" t="str">
        <f t="shared" si="14"/>
        <v>View</v>
      </c>
      <c r="J347" t="s">
        <v>17</v>
      </c>
      <c r="K347" t="s">
        <v>21</v>
      </c>
      <c r="L347">
        <v>324726</v>
      </c>
      <c r="M347">
        <v>89.66</v>
      </c>
      <c r="N347">
        <v>99.39</v>
      </c>
      <c r="P347">
        <v>1</v>
      </c>
    </row>
    <row r="348" spans="1:16" x14ac:dyDescent="0.3">
      <c r="A348">
        <v>346</v>
      </c>
      <c r="B348" t="str">
        <f>HYPERLINK("https://imapinvasives.natureserve.org/imap/services/page/Presence/1068496.html", "View")</f>
        <v>View</v>
      </c>
      <c r="C348">
        <v>1068496</v>
      </c>
      <c r="D348">
        <v>1073323</v>
      </c>
      <c r="E348" t="str">
        <f>HYPERLINK("http://imap3images.s3-website-us-east-1.amazonaws.com/1073323/p/inat_photo_94144853.jpg", "View")</f>
        <v>View</v>
      </c>
      <c r="F348" t="s">
        <v>17</v>
      </c>
      <c r="G348" t="s">
        <v>18</v>
      </c>
      <c r="H348">
        <v>324726</v>
      </c>
      <c r="I348" t="str">
        <f t="shared" si="14"/>
        <v>View</v>
      </c>
      <c r="J348" t="s">
        <v>17</v>
      </c>
      <c r="K348" t="s">
        <v>21</v>
      </c>
      <c r="L348">
        <v>324726</v>
      </c>
      <c r="M348">
        <v>81.28</v>
      </c>
      <c r="N348">
        <v>99.87</v>
      </c>
      <c r="P348">
        <v>1</v>
      </c>
    </row>
    <row r="349" spans="1:16" x14ac:dyDescent="0.3">
      <c r="A349">
        <v>347</v>
      </c>
      <c r="B349" t="str">
        <f>HYPERLINK("https://imapinvasives.natureserve.org/imap/services/page/Presence/1153008.html", "View")</f>
        <v>View</v>
      </c>
      <c r="C349">
        <v>1153008</v>
      </c>
      <c r="D349">
        <v>1159965</v>
      </c>
      <c r="E349" t="str">
        <f>HYPERLINK("http://imap3images.s3-website-us-east-1.amazonaws.com/1159965/p/inat_photo_146396191.jpg", "View")</f>
        <v>View</v>
      </c>
      <c r="F349" t="s">
        <v>17</v>
      </c>
      <c r="G349" t="s">
        <v>18</v>
      </c>
      <c r="H349">
        <v>324726</v>
      </c>
      <c r="I349" t="str">
        <f t="shared" si="14"/>
        <v>View</v>
      </c>
      <c r="J349" t="s">
        <v>17</v>
      </c>
      <c r="K349" t="s">
        <v>21</v>
      </c>
      <c r="L349">
        <v>324726</v>
      </c>
      <c r="M349">
        <v>64.569999999999993</v>
      </c>
      <c r="N349">
        <v>99.13</v>
      </c>
      <c r="P349">
        <v>1</v>
      </c>
    </row>
    <row r="350" spans="1:16" x14ac:dyDescent="0.3">
      <c r="A350">
        <v>348</v>
      </c>
      <c r="B350" t="str">
        <f>HYPERLINK("https://imapinvasives.natureserve.org/imap/services/page/Presence/1159654.html", "View")</f>
        <v>View</v>
      </c>
      <c r="C350">
        <v>1159654</v>
      </c>
      <c r="D350">
        <v>1166753</v>
      </c>
      <c r="E350" t="str">
        <f>HYPERLINK("http://imap3images.s3-website-us-east-1.amazonaws.com/1166753/p/inat_photo_152255826.jpg", "View")</f>
        <v>View</v>
      </c>
      <c r="F350" t="s">
        <v>17</v>
      </c>
      <c r="G350" t="s">
        <v>18</v>
      </c>
      <c r="H350">
        <v>324726</v>
      </c>
      <c r="I350" t="str">
        <f t="shared" si="14"/>
        <v>View</v>
      </c>
      <c r="J350" t="s">
        <v>17</v>
      </c>
      <c r="K350" t="s">
        <v>21</v>
      </c>
      <c r="L350">
        <v>324726</v>
      </c>
      <c r="M350">
        <v>81.28</v>
      </c>
      <c r="N350">
        <v>99.26</v>
      </c>
      <c r="P350">
        <v>1</v>
      </c>
    </row>
    <row r="351" spans="1:16" x14ac:dyDescent="0.3">
      <c r="A351">
        <v>349</v>
      </c>
      <c r="B351" t="str">
        <f>HYPERLINK("https://imapinvasives.natureserve.org/imap/services/page/Presence/1344885.html", "View")</f>
        <v>View</v>
      </c>
      <c r="C351">
        <v>1344885</v>
      </c>
      <c r="D351">
        <v>1360984</v>
      </c>
      <c r="E351" t="str">
        <f>HYPERLINK("http://imap3images.s3-website-us-east-1.amazonaws.com/1360984/p/imap_app_photo_1691152557982.jpg", "View")</f>
        <v>View</v>
      </c>
      <c r="F351" t="s">
        <v>17</v>
      </c>
      <c r="G351" t="s">
        <v>18</v>
      </c>
      <c r="H351">
        <v>324726</v>
      </c>
      <c r="I351" t="str">
        <f t="shared" si="14"/>
        <v>View</v>
      </c>
      <c r="J351" t="s">
        <v>17</v>
      </c>
      <c r="K351" t="s">
        <v>21</v>
      </c>
      <c r="L351">
        <v>324726</v>
      </c>
      <c r="M351">
        <v>76.7</v>
      </c>
      <c r="N351">
        <v>99.89</v>
      </c>
      <c r="P351">
        <v>1</v>
      </c>
    </row>
    <row r="352" spans="1:16" x14ac:dyDescent="0.3">
      <c r="A352">
        <v>350</v>
      </c>
      <c r="B352" t="str">
        <f>HYPERLINK("https://imapinvasives.natureserve.org/imap/services/page/Presence/1274013.html", "View")</f>
        <v>View</v>
      </c>
      <c r="C352">
        <v>1274013</v>
      </c>
      <c r="D352">
        <v>1283215</v>
      </c>
      <c r="E352" t="str">
        <f>HYPERLINK("http://imap3images.s3-website-us-east-1.amazonaws.com/1283215/p/20220609_082122.jpg", "View")</f>
        <v>View</v>
      </c>
      <c r="F352" t="s">
        <v>17</v>
      </c>
      <c r="G352" t="s">
        <v>18</v>
      </c>
      <c r="H352">
        <v>324726</v>
      </c>
      <c r="I352" t="str">
        <f t="shared" si="14"/>
        <v>View</v>
      </c>
      <c r="J352" t="s">
        <v>17</v>
      </c>
      <c r="K352" t="s">
        <v>21</v>
      </c>
      <c r="L352">
        <v>324726</v>
      </c>
      <c r="M352">
        <v>89.66</v>
      </c>
      <c r="N352">
        <v>94.04</v>
      </c>
      <c r="P352">
        <v>1</v>
      </c>
    </row>
    <row r="353" spans="1:16" x14ac:dyDescent="0.3">
      <c r="A353">
        <v>351</v>
      </c>
      <c r="B353" t="str">
        <f>HYPERLINK("https://imapinvasives.natureserve.org/imap/services/page/Presence/1308944.html", "View")</f>
        <v>View</v>
      </c>
      <c r="C353">
        <v>1308944</v>
      </c>
      <c r="D353">
        <v>1319427</v>
      </c>
      <c r="E353" t="str">
        <f>HYPERLINK("http://imap3images.s3-website-us-east-1.amazonaws.com/1319427/p/inat_photo_242656468.jpg", "View")</f>
        <v>View</v>
      </c>
      <c r="F353" t="s">
        <v>17</v>
      </c>
      <c r="G353" t="s">
        <v>18</v>
      </c>
      <c r="H353">
        <v>324726</v>
      </c>
      <c r="I353" t="str">
        <f t="shared" si="14"/>
        <v>View</v>
      </c>
      <c r="J353" t="s">
        <v>17</v>
      </c>
      <c r="K353" t="s">
        <v>21</v>
      </c>
      <c r="L353">
        <v>324726</v>
      </c>
      <c r="M353">
        <v>81.28</v>
      </c>
      <c r="N353">
        <v>99.97</v>
      </c>
      <c r="P353">
        <v>1</v>
      </c>
    </row>
    <row r="354" spans="1:16" x14ac:dyDescent="0.3">
      <c r="A354">
        <v>352</v>
      </c>
      <c r="B354" t="str">
        <f>HYPERLINK("https://imapinvasives.natureserve.org/imap/services/page/Presence/1272659.html", "View")</f>
        <v>View</v>
      </c>
      <c r="C354">
        <v>1272659</v>
      </c>
      <c r="D354">
        <v>1281711</v>
      </c>
      <c r="E354" t="str">
        <f>HYPERLINK("http://imap3images.s3-website-us-east-1.amazonaws.com/1281711/p/inat_photo_199802989.jpg", "View")</f>
        <v>View</v>
      </c>
      <c r="F354" t="s">
        <v>17</v>
      </c>
      <c r="G354" t="s">
        <v>18</v>
      </c>
      <c r="H354">
        <v>324726</v>
      </c>
      <c r="I354" t="str">
        <f t="shared" si="14"/>
        <v>View</v>
      </c>
      <c r="J354" t="s">
        <v>17</v>
      </c>
      <c r="K354" t="s">
        <v>21</v>
      </c>
      <c r="L354">
        <v>324726</v>
      </c>
      <c r="M354">
        <v>89.66</v>
      </c>
      <c r="N354">
        <v>97.58</v>
      </c>
      <c r="P354">
        <v>1</v>
      </c>
    </row>
    <row r="355" spans="1:16" x14ac:dyDescent="0.3">
      <c r="A355">
        <v>353</v>
      </c>
      <c r="B355" t="str">
        <f>HYPERLINK("https://imapinvasives.natureserve.org/imap/services/page/Presence/1164071.html", "View")</f>
        <v>View</v>
      </c>
      <c r="C355">
        <v>1164071</v>
      </c>
      <c r="D355">
        <v>1171302</v>
      </c>
      <c r="E355" t="str">
        <f>HYPERLINK("http://imap3images.s3-website-us-east-1.amazonaws.com/1171302/p/inat_photo_158108373.jpg", "View")</f>
        <v>View</v>
      </c>
      <c r="F355" t="s">
        <v>17</v>
      </c>
      <c r="G355" t="s">
        <v>18</v>
      </c>
      <c r="H355">
        <v>324726</v>
      </c>
      <c r="I355" t="str">
        <f t="shared" si="14"/>
        <v>View</v>
      </c>
      <c r="J355" t="s">
        <v>17</v>
      </c>
      <c r="K355" t="s">
        <v>21</v>
      </c>
      <c r="L355">
        <v>324726</v>
      </c>
      <c r="M355">
        <v>89.66</v>
      </c>
      <c r="N355">
        <v>99.65</v>
      </c>
      <c r="P355">
        <v>1</v>
      </c>
    </row>
    <row r="356" spans="1:16" x14ac:dyDescent="0.3">
      <c r="A356">
        <v>354</v>
      </c>
      <c r="B356" t="str">
        <f>HYPERLINK("https://imapinvasives.natureserve.org/imap/services/page/Presence/1285217.html", "View")</f>
        <v>View</v>
      </c>
      <c r="C356">
        <v>1285217</v>
      </c>
      <c r="D356">
        <v>1294852</v>
      </c>
      <c r="E356" t="str">
        <f>HYPERLINK("http://imap3images.s3-website-us-east-1.amazonaws.com/1294852/p/inat_photo_219751891.jpg", "View")</f>
        <v>View</v>
      </c>
      <c r="F356" t="s">
        <v>17</v>
      </c>
      <c r="G356" t="s">
        <v>18</v>
      </c>
      <c r="H356">
        <v>324726</v>
      </c>
      <c r="I356" t="str">
        <f t="shared" si="14"/>
        <v>View</v>
      </c>
      <c r="J356" t="s">
        <v>17</v>
      </c>
      <c r="K356" t="s">
        <v>21</v>
      </c>
      <c r="L356">
        <v>324726</v>
      </c>
      <c r="M356">
        <v>64.569999999999993</v>
      </c>
      <c r="N356">
        <v>99.89</v>
      </c>
      <c r="P356">
        <v>1</v>
      </c>
    </row>
    <row r="357" spans="1:16" x14ac:dyDescent="0.3">
      <c r="A357">
        <v>355</v>
      </c>
      <c r="B357" t="str">
        <f>HYPERLINK("https://imapinvasives.natureserve.org/imap/services/page/Presence/1167054.html", "View")</f>
        <v>View</v>
      </c>
      <c r="C357">
        <v>1167054</v>
      </c>
      <c r="D357">
        <v>1174382</v>
      </c>
      <c r="E357" t="str">
        <f>HYPERLINK("http://imap3images.s3-website-us-east-1.amazonaws.com/1174382/p/inat_photo_161322942.jpg", "View")</f>
        <v>View</v>
      </c>
      <c r="F357" t="s">
        <v>17</v>
      </c>
      <c r="G357" t="s">
        <v>18</v>
      </c>
      <c r="H357">
        <v>324726</v>
      </c>
      <c r="I357" t="str">
        <f t="shared" si="14"/>
        <v>View</v>
      </c>
      <c r="J357" t="s">
        <v>17</v>
      </c>
      <c r="K357" t="s">
        <v>21</v>
      </c>
      <c r="L357">
        <v>324726</v>
      </c>
      <c r="M357">
        <v>81.28</v>
      </c>
      <c r="N357">
        <v>99.8</v>
      </c>
      <c r="P357">
        <v>1</v>
      </c>
    </row>
    <row r="358" spans="1:16" x14ac:dyDescent="0.3">
      <c r="A358">
        <v>356</v>
      </c>
      <c r="B358" t="str">
        <f>HYPERLINK("https://imapinvasives.natureserve.org/imap/services/page/Presence/1354026.html", "View")</f>
        <v>View</v>
      </c>
      <c r="C358">
        <v>1354026</v>
      </c>
      <c r="D358">
        <v>1371453</v>
      </c>
      <c r="E358" t="str">
        <f>HYPERLINK("http://imap3images.s3-website-us-east-1.amazonaws.com/1371453/p/imap_app_photo_1694822683696.jpg", "View")</f>
        <v>View</v>
      </c>
      <c r="F358" t="s">
        <v>17</v>
      </c>
      <c r="G358" t="s">
        <v>18</v>
      </c>
      <c r="H358">
        <v>324726</v>
      </c>
      <c r="I358" t="str">
        <f t="shared" si="14"/>
        <v>View</v>
      </c>
      <c r="J358" t="s">
        <v>17</v>
      </c>
      <c r="K358" t="s">
        <v>21</v>
      </c>
      <c r="L358">
        <v>324726</v>
      </c>
      <c r="M358">
        <v>61.19</v>
      </c>
      <c r="N358">
        <v>75.34</v>
      </c>
      <c r="P358">
        <v>1</v>
      </c>
    </row>
    <row r="359" spans="1:16" x14ac:dyDescent="0.3">
      <c r="A359">
        <v>357</v>
      </c>
      <c r="B359" t="str">
        <f>HYPERLINK("https://imapinvasives.natureserve.org/imap/services/page/Presence/1163645.html", "View")</f>
        <v>View</v>
      </c>
      <c r="C359">
        <v>1163645</v>
      </c>
      <c r="D359">
        <v>1170861</v>
      </c>
      <c r="E359" t="str">
        <f>HYPERLINK("http://imap3images.s3-website-us-east-1.amazonaws.com/1170861/p/inat_photo_157449921.jpg", "View")</f>
        <v>View</v>
      </c>
      <c r="F359" t="s">
        <v>17</v>
      </c>
      <c r="G359" t="s">
        <v>18</v>
      </c>
      <c r="H359">
        <v>324726</v>
      </c>
      <c r="I359" t="str">
        <f t="shared" si="14"/>
        <v>View</v>
      </c>
      <c r="J359" t="s">
        <v>17</v>
      </c>
      <c r="K359" t="s">
        <v>21</v>
      </c>
      <c r="L359">
        <v>324726</v>
      </c>
      <c r="M359">
        <v>76.7</v>
      </c>
      <c r="N359">
        <v>99.94</v>
      </c>
      <c r="P359">
        <v>1</v>
      </c>
    </row>
    <row r="360" spans="1:16" x14ac:dyDescent="0.3">
      <c r="A360">
        <v>358</v>
      </c>
      <c r="B360" t="str">
        <f>HYPERLINK("https://imapinvasives.natureserve.org/imap/services/page/Presence/1160788.html", "View")</f>
        <v>View</v>
      </c>
      <c r="C360">
        <v>1160788</v>
      </c>
      <c r="D360">
        <v>1167927</v>
      </c>
      <c r="E360" t="str">
        <f>HYPERLINK("http://imap3images.s3-website-us-east-1.amazonaws.com/1167927/p/inat_photo_154039397.jpg", "View")</f>
        <v>View</v>
      </c>
      <c r="F360" t="s">
        <v>17</v>
      </c>
      <c r="G360" t="s">
        <v>18</v>
      </c>
      <c r="H360">
        <v>324726</v>
      </c>
      <c r="I360" t="str">
        <f t="shared" si="14"/>
        <v>View</v>
      </c>
      <c r="J360" t="s">
        <v>17</v>
      </c>
      <c r="K360" t="s">
        <v>21</v>
      </c>
      <c r="L360">
        <v>324726</v>
      </c>
      <c r="M360">
        <v>89.66</v>
      </c>
      <c r="N360">
        <v>99.89</v>
      </c>
      <c r="P360">
        <v>1</v>
      </c>
    </row>
    <row r="361" spans="1:16" x14ac:dyDescent="0.3">
      <c r="A361">
        <v>359</v>
      </c>
      <c r="B361" t="str">
        <f>HYPERLINK("https://imapinvasives.natureserve.org/imap/services/page/Presence/1162997.html", "View")</f>
        <v>View</v>
      </c>
      <c r="C361">
        <v>1162997</v>
      </c>
      <c r="D361">
        <v>1170173</v>
      </c>
      <c r="E361" t="str">
        <f>HYPERLINK("http://imap3images.s3-website-us-east-1.amazonaws.com/1170173/p/inat_photo_156106621.jpg", "View")</f>
        <v>View</v>
      </c>
      <c r="F361" t="s">
        <v>17</v>
      </c>
      <c r="G361" t="s">
        <v>18</v>
      </c>
      <c r="H361">
        <v>324726</v>
      </c>
      <c r="I361" t="str">
        <f t="shared" si="14"/>
        <v>View</v>
      </c>
      <c r="J361" t="s">
        <v>17</v>
      </c>
      <c r="K361" t="s">
        <v>21</v>
      </c>
      <c r="L361">
        <v>324726</v>
      </c>
      <c r="M361">
        <v>89.66</v>
      </c>
      <c r="N361">
        <v>99.36</v>
      </c>
      <c r="P361">
        <v>1</v>
      </c>
    </row>
    <row r="362" spans="1:16" x14ac:dyDescent="0.3">
      <c r="A362">
        <v>360</v>
      </c>
      <c r="B362" t="str">
        <f>HYPERLINK("https://imapinvasives.natureserve.org/imap/services/page/Presence/1349554.html", "View")</f>
        <v>View</v>
      </c>
      <c r="C362">
        <v>1349554</v>
      </c>
      <c r="D362">
        <v>1366499</v>
      </c>
      <c r="E362" t="str">
        <f>HYPERLINK("http://imap3images.s3-website-us-east-1.amazonaws.com/1366499/p/inat_photo_309449215.jpg", "View")</f>
        <v>View</v>
      </c>
      <c r="F362" t="s">
        <v>17</v>
      </c>
      <c r="G362" t="s">
        <v>18</v>
      </c>
      <c r="H362">
        <v>324726</v>
      </c>
      <c r="I362" t="str">
        <f t="shared" si="14"/>
        <v>View</v>
      </c>
      <c r="J362" t="s">
        <v>17</v>
      </c>
      <c r="K362" t="s">
        <v>21</v>
      </c>
      <c r="L362">
        <v>324726</v>
      </c>
      <c r="M362">
        <v>76.7</v>
      </c>
      <c r="N362">
        <v>99.84</v>
      </c>
      <c r="P362">
        <v>1</v>
      </c>
    </row>
    <row r="363" spans="1:16" x14ac:dyDescent="0.3">
      <c r="A363">
        <v>361</v>
      </c>
      <c r="B363" t="str">
        <f>HYPERLINK("https://imapinvasives.natureserve.org/imap/services/page/Presence/1163353.html", "View")</f>
        <v>View</v>
      </c>
      <c r="C363">
        <v>1163353</v>
      </c>
      <c r="D363">
        <v>1170541</v>
      </c>
      <c r="E363" t="str">
        <f>HYPERLINK("http://imap3images.s3-website-us-east-1.amazonaws.com/1170541/p/inat_photo_156937200.jpg", "View")</f>
        <v>View</v>
      </c>
      <c r="F363" t="s">
        <v>17</v>
      </c>
      <c r="G363" t="s">
        <v>18</v>
      </c>
      <c r="H363">
        <v>324726</v>
      </c>
      <c r="I363" t="str">
        <f t="shared" si="14"/>
        <v>View</v>
      </c>
      <c r="J363" t="s">
        <v>17</v>
      </c>
      <c r="K363" t="s">
        <v>21</v>
      </c>
      <c r="L363">
        <v>324726</v>
      </c>
      <c r="M363">
        <v>89.66</v>
      </c>
      <c r="N363">
        <v>99.9</v>
      </c>
      <c r="P363">
        <v>1</v>
      </c>
    </row>
    <row r="364" spans="1:16" x14ac:dyDescent="0.3">
      <c r="A364">
        <v>362</v>
      </c>
      <c r="B364" t="str">
        <f>HYPERLINK("https://imapinvasives.natureserve.org/imap/services/page/Presence/1335245.html", "View")</f>
        <v>View</v>
      </c>
      <c r="C364">
        <v>1335245</v>
      </c>
      <c r="D364">
        <v>1349522</v>
      </c>
      <c r="E364" t="str">
        <f>HYPERLINK("http://imap3images.s3-website-us-east-1.amazonaws.com/1349522/p/inat_photo_286253192.jpg", "View")</f>
        <v>View</v>
      </c>
      <c r="F364" t="s">
        <v>17</v>
      </c>
      <c r="G364" t="s">
        <v>18</v>
      </c>
      <c r="H364">
        <v>324726</v>
      </c>
      <c r="I364" t="str">
        <f t="shared" si="14"/>
        <v>View</v>
      </c>
      <c r="J364" t="s">
        <v>17</v>
      </c>
      <c r="K364" t="s">
        <v>21</v>
      </c>
      <c r="L364">
        <v>324726</v>
      </c>
      <c r="M364">
        <v>76.7</v>
      </c>
      <c r="N364">
        <v>99.99</v>
      </c>
      <c r="P364">
        <v>1</v>
      </c>
    </row>
    <row r="365" spans="1:16" x14ac:dyDescent="0.3">
      <c r="A365">
        <v>363</v>
      </c>
      <c r="B365" t="str">
        <f>HYPERLINK("https://imapinvasives.natureserve.org/imap/services/page/Presence/1160966.html", "View")</f>
        <v>View</v>
      </c>
      <c r="C365">
        <v>1160966</v>
      </c>
      <c r="D365">
        <v>1168107</v>
      </c>
      <c r="E365" t="str">
        <f>HYPERLINK("http://imap3images.s3-website-us-east-1.amazonaws.com/1168107/p/imap_app_photo_1630513860844.jpg", "View")</f>
        <v>View</v>
      </c>
      <c r="F365" t="s">
        <v>17</v>
      </c>
      <c r="G365" t="s">
        <v>18</v>
      </c>
      <c r="H365">
        <v>324726</v>
      </c>
      <c r="I365" t="str">
        <f t="shared" si="14"/>
        <v>View</v>
      </c>
      <c r="J365" t="s">
        <v>17</v>
      </c>
      <c r="K365" t="s">
        <v>21</v>
      </c>
      <c r="L365">
        <v>324726</v>
      </c>
      <c r="M365">
        <v>81.28</v>
      </c>
      <c r="N365">
        <v>99.29</v>
      </c>
      <c r="P365">
        <v>1</v>
      </c>
    </row>
    <row r="366" spans="1:16" x14ac:dyDescent="0.3">
      <c r="A366">
        <v>364</v>
      </c>
      <c r="B366" t="str">
        <f>HYPERLINK("https://imapinvasives.natureserve.org/imap/services/page/Presence/1441192.html", "View")</f>
        <v>View</v>
      </c>
      <c r="C366">
        <v>1441192</v>
      </c>
      <c r="D366">
        <v>1455647</v>
      </c>
      <c r="E366" t="str">
        <f>HYPERLINK("http://imap3images.s3-website-us-east-1.amazonaws.com/1455647/p/imap_app_photo_1723815584345.jpg", "View")</f>
        <v>View</v>
      </c>
      <c r="F366" t="s">
        <v>17</v>
      </c>
      <c r="G366" t="s">
        <v>18</v>
      </c>
      <c r="H366">
        <v>324726</v>
      </c>
      <c r="I366" t="str">
        <f t="shared" si="14"/>
        <v>View</v>
      </c>
      <c r="J366" t="s">
        <v>17</v>
      </c>
      <c r="K366" t="s">
        <v>21</v>
      </c>
      <c r="L366">
        <v>324726</v>
      </c>
      <c r="M366">
        <v>64.569999999999993</v>
      </c>
      <c r="N366">
        <v>99.68</v>
      </c>
      <c r="P366">
        <v>1</v>
      </c>
    </row>
    <row r="367" spans="1:16" x14ac:dyDescent="0.3">
      <c r="A367">
        <v>365</v>
      </c>
      <c r="B367" t="str">
        <f>HYPERLINK("https://imapinvasives.natureserve.org/imap/services/page/Presence/1275197.html", "View")</f>
        <v>View</v>
      </c>
      <c r="C367">
        <v>1275197</v>
      </c>
      <c r="D367">
        <v>1284522</v>
      </c>
      <c r="E367" t="str">
        <f>HYPERLINK("http://imap3images.s3-website-us-east-1.amazonaws.com/1284522/p/imap_app_photo_1655402412092.jpg", "View")</f>
        <v>View</v>
      </c>
      <c r="F367" t="s">
        <v>17</v>
      </c>
      <c r="G367" t="s">
        <v>18</v>
      </c>
      <c r="H367">
        <v>324726</v>
      </c>
      <c r="I367" t="str">
        <f t="shared" si="14"/>
        <v>View</v>
      </c>
      <c r="J367" t="s">
        <v>17</v>
      </c>
      <c r="K367" t="s">
        <v>21</v>
      </c>
      <c r="L367">
        <v>324726</v>
      </c>
      <c r="M367">
        <v>81.28</v>
      </c>
      <c r="N367">
        <v>99.14</v>
      </c>
      <c r="P367">
        <v>1</v>
      </c>
    </row>
    <row r="368" spans="1:16" x14ac:dyDescent="0.3">
      <c r="A368">
        <v>366</v>
      </c>
      <c r="B368" t="str">
        <f>HYPERLINK("https://imapinvasives.natureserve.org/imap/services/page/Presence/1355035.html", "View")</f>
        <v>View</v>
      </c>
      <c r="C368">
        <v>1355035</v>
      </c>
      <c r="D368">
        <v>1372667</v>
      </c>
      <c r="E368" t="str">
        <f>HYPERLINK("http://imap3images.s3-website-us-east-1.amazonaws.com/1372667/p/36A224D8-5C12-4A23-AAAA-25C877B92185.jpeg", "View")</f>
        <v>View</v>
      </c>
      <c r="F368" t="s">
        <v>17</v>
      </c>
      <c r="G368" t="s">
        <v>18</v>
      </c>
      <c r="H368">
        <v>324726</v>
      </c>
      <c r="I368" t="str">
        <f t="shared" si="14"/>
        <v>View</v>
      </c>
      <c r="J368" t="s">
        <v>17</v>
      </c>
      <c r="K368" t="s">
        <v>21</v>
      </c>
      <c r="L368">
        <v>324726</v>
      </c>
      <c r="M368">
        <v>81.28</v>
      </c>
      <c r="N368">
        <v>99.44</v>
      </c>
      <c r="P368">
        <v>1</v>
      </c>
    </row>
    <row r="369" spans="1:16" x14ac:dyDescent="0.3">
      <c r="A369">
        <v>367</v>
      </c>
      <c r="B369" t="str">
        <f>HYPERLINK("https://imapinvasives.natureserve.org/imap/services/page/Presence/1165597.html", "View")</f>
        <v>View</v>
      </c>
      <c r="C369">
        <v>1165597</v>
      </c>
      <c r="D369">
        <v>1172862</v>
      </c>
      <c r="E369" t="str">
        <f>HYPERLINK("http://imap3images.s3-website-us-east-1.amazonaws.com/1172862/p/imap_app_photo_1632942356085.jpg", "View")</f>
        <v>View</v>
      </c>
      <c r="F369" t="s">
        <v>17</v>
      </c>
      <c r="G369" t="s">
        <v>18</v>
      </c>
      <c r="H369">
        <v>324726</v>
      </c>
      <c r="I369" t="str">
        <f t="shared" si="14"/>
        <v>View</v>
      </c>
      <c r="J369" t="s">
        <v>17</v>
      </c>
      <c r="K369" t="s">
        <v>21</v>
      </c>
      <c r="L369">
        <v>324726</v>
      </c>
      <c r="M369">
        <v>61.19</v>
      </c>
      <c r="N369">
        <v>43.83</v>
      </c>
      <c r="P369">
        <v>1</v>
      </c>
    </row>
    <row r="370" spans="1:16" x14ac:dyDescent="0.3">
      <c r="A370">
        <v>368</v>
      </c>
      <c r="B370" t="str">
        <f>HYPERLINK("https://imapinvasives.natureserve.org/imap/services/page/Presence/1161916.html", "View")</f>
        <v>View</v>
      </c>
      <c r="C370">
        <v>1161916</v>
      </c>
      <c r="D370">
        <v>1169069</v>
      </c>
      <c r="E370" t="str">
        <f>HYPERLINK("http://imap3images.s3-website-us-east-1.amazonaws.com/1169069/p/imap_app_photo_1630765759061.jpg", "View")</f>
        <v>View</v>
      </c>
      <c r="F370" t="s">
        <v>17</v>
      </c>
      <c r="G370" t="s">
        <v>18</v>
      </c>
      <c r="H370">
        <v>324726</v>
      </c>
      <c r="I370" t="str">
        <f>HYPERLINK("https://www.inaturalist.org/taxa/57278-Ailanthus-altissima", "View")</f>
        <v>View</v>
      </c>
      <c r="J370" t="s">
        <v>28</v>
      </c>
      <c r="K370" t="s">
        <v>60</v>
      </c>
      <c r="L370">
        <v>57278</v>
      </c>
      <c r="M370">
        <v>62.54</v>
      </c>
      <c r="N370">
        <v>68.819999999999993</v>
      </c>
      <c r="P370">
        <v>0</v>
      </c>
    </row>
    <row r="371" spans="1:16" x14ac:dyDescent="0.3">
      <c r="A371">
        <v>369</v>
      </c>
      <c r="B371" t="str">
        <f>HYPERLINK("https://imapinvasives.natureserve.org/imap/services/page/Presence/1343573.html", "View")</f>
        <v>View</v>
      </c>
      <c r="C371">
        <v>1343573</v>
      </c>
      <c r="D371">
        <v>1359162</v>
      </c>
      <c r="E371" t="str">
        <f>HYPERLINK("http://imap3images.s3-website-us-east-1.amazonaws.com/1359162/p/inat_photo_304870843.jpg", "View")</f>
        <v>View</v>
      </c>
      <c r="F371" t="s">
        <v>17</v>
      </c>
      <c r="G371" t="s">
        <v>18</v>
      </c>
      <c r="H371">
        <v>324726</v>
      </c>
      <c r="I371" t="str">
        <f>HYPERLINK("https://www.inaturalist.org/taxa/324726-Lycorma-delicatula", "View")</f>
        <v>View</v>
      </c>
      <c r="J371" t="s">
        <v>17</v>
      </c>
      <c r="K371" t="s">
        <v>21</v>
      </c>
      <c r="L371">
        <v>324726</v>
      </c>
      <c r="M371">
        <v>61.19</v>
      </c>
      <c r="N371">
        <v>99.78</v>
      </c>
      <c r="P371">
        <v>1</v>
      </c>
    </row>
    <row r="372" spans="1:16" x14ac:dyDescent="0.3">
      <c r="A372">
        <v>370</v>
      </c>
      <c r="B372" t="str">
        <f>HYPERLINK("https://imapinvasives.natureserve.org/imap/services/page/Presence/1334956.html", "View")</f>
        <v>View</v>
      </c>
      <c r="C372">
        <v>1334956</v>
      </c>
      <c r="D372">
        <v>1349181</v>
      </c>
      <c r="E372" t="str">
        <f>HYPERLINK("http://imap3images.s3-website-us-east-1.amazonaws.com/1349181/p/20230611_113007.jpg", "View")</f>
        <v>View</v>
      </c>
      <c r="F372" t="s">
        <v>17</v>
      </c>
      <c r="G372" t="s">
        <v>18</v>
      </c>
      <c r="H372">
        <v>324726</v>
      </c>
      <c r="I372" t="str">
        <f>HYPERLINK("https://www.inaturalist.org/taxa/57278-Ailanthus-altissima", "View")</f>
        <v>View</v>
      </c>
      <c r="J372" t="s">
        <v>28</v>
      </c>
      <c r="K372" t="s">
        <v>60</v>
      </c>
      <c r="L372">
        <v>57278</v>
      </c>
      <c r="M372">
        <v>80.14</v>
      </c>
      <c r="N372">
        <v>17.63</v>
      </c>
      <c r="P372">
        <v>0</v>
      </c>
    </row>
    <row r="373" spans="1:16" x14ac:dyDescent="0.3">
      <c r="A373">
        <v>371</v>
      </c>
      <c r="B373" t="str">
        <f>HYPERLINK("https://imapinvasives.natureserve.org/imap/services/page/Presence/1164106.html", "View")</f>
        <v>View</v>
      </c>
      <c r="C373">
        <v>1164106</v>
      </c>
      <c r="D373">
        <v>1171337</v>
      </c>
      <c r="E373" t="str">
        <f>HYPERLINK("http://imap3images.s3-website-us-east-1.amazonaws.com/1171337/p/inat_photo_158435531.jpg", "View")</f>
        <v>View</v>
      </c>
      <c r="F373" t="s">
        <v>17</v>
      </c>
      <c r="G373" t="s">
        <v>18</v>
      </c>
      <c r="H373">
        <v>324726</v>
      </c>
      <c r="I373" t="str">
        <f>HYPERLINK("https://www.inaturalist.org/taxa/324726-Lycorma-delicatula", "View")</f>
        <v>View</v>
      </c>
      <c r="J373" t="s">
        <v>17</v>
      </c>
      <c r="K373" t="s">
        <v>21</v>
      </c>
      <c r="L373">
        <v>324726</v>
      </c>
      <c r="M373">
        <v>89.66</v>
      </c>
      <c r="N373">
        <v>99.91</v>
      </c>
      <c r="P373">
        <v>1</v>
      </c>
    </row>
    <row r="374" spans="1:16" x14ac:dyDescent="0.3">
      <c r="A374">
        <v>372</v>
      </c>
      <c r="B374" t="str">
        <f>HYPERLINK("https://imapinvasives.natureserve.org/imap/services/page/Presence/1132370.html", "View")</f>
        <v>View</v>
      </c>
      <c r="C374">
        <v>1132370</v>
      </c>
      <c r="D374">
        <v>1138763</v>
      </c>
      <c r="E374" t="str">
        <f>HYPERLINK("http://imap3images.s3-website-us-east-1.amazonaws.com/1138763/p/imap_app_photo_1619388176197.jpg", "View")</f>
        <v>View</v>
      </c>
      <c r="F374" t="s">
        <v>17</v>
      </c>
      <c r="G374" t="s">
        <v>18</v>
      </c>
      <c r="H374">
        <v>324726</v>
      </c>
      <c r="I374" t="str">
        <f>HYPERLINK("https://www.inaturalist.org/taxa/1019876-Lyomyces-sambuci", "View")</f>
        <v>View</v>
      </c>
      <c r="J374" t="s">
        <v>61</v>
      </c>
      <c r="K374" t="s">
        <v>62</v>
      </c>
      <c r="L374">
        <v>1019876</v>
      </c>
      <c r="M374">
        <v>7.0000000000000007E-2</v>
      </c>
      <c r="N374">
        <v>35.880000000000003</v>
      </c>
      <c r="P374">
        <v>0</v>
      </c>
    </row>
    <row r="375" spans="1:16" x14ac:dyDescent="0.3">
      <c r="A375">
        <v>373</v>
      </c>
      <c r="B375" t="str">
        <f>HYPERLINK("https://imapinvasives.natureserve.org/imap/services/page/Presence/1302887.html", "View")</f>
        <v>View</v>
      </c>
      <c r="C375">
        <v>1302887</v>
      </c>
      <c r="D375">
        <v>1313304</v>
      </c>
      <c r="E375" t="str">
        <f>HYPERLINK("http://imap3images.s3-website-us-east-1.amazonaws.com/1313304/p/3CC47380-203A-42BC-96F3-79F0FFEA9A41.jpeg", "View")</f>
        <v>View</v>
      </c>
      <c r="F375" t="s">
        <v>17</v>
      </c>
      <c r="G375" t="s">
        <v>18</v>
      </c>
      <c r="H375">
        <v>324726</v>
      </c>
      <c r="I375" t="str">
        <f t="shared" ref="I375:I394" si="15">HYPERLINK("https://www.inaturalist.org/taxa/324726-Lycorma-delicatula", "View")</f>
        <v>View</v>
      </c>
      <c r="J375" t="s">
        <v>17</v>
      </c>
      <c r="K375" t="s">
        <v>21</v>
      </c>
      <c r="L375">
        <v>324726</v>
      </c>
      <c r="M375">
        <v>81.28</v>
      </c>
      <c r="N375">
        <v>99.96</v>
      </c>
      <c r="P375">
        <v>1</v>
      </c>
    </row>
    <row r="376" spans="1:16" x14ac:dyDescent="0.3">
      <c r="A376">
        <v>374</v>
      </c>
      <c r="B376" t="str">
        <f>HYPERLINK("https://imapinvasives.natureserve.org/imap/services/page/Presence/1434835.html", "View")</f>
        <v>View</v>
      </c>
      <c r="C376">
        <v>1434835</v>
      </c>
      <c r="D376">
        <v>1448525</v>
      </c>
      <c r="E376" t="str">
        <f>HYPERLINK("http://imap3images.s3-website-us-east-1.amazonaws.com/1448525/p/IMG_1145.jpeg", "View")</f>
        <v>View</v>
      </c>
      <c r="F376" t="s">
        <v>17</v>
      </c>
      <c r="G376" t="s">
        <v>18</v>
      </c>
      <c r="H376">
        <v>324726</v>
      </c>
      <c r="I376" t="str">
        <f t="shared" si="15"/>
        <v>View</v>
      </c>
      <c r="J376" t="s">
        <v>17</v>
      </c>
      <c r="K376" t="s">
        <v>21</v>
      </c>
      <c r="L376">
        <v>324726</v>
      </c>
      <c r="M376">
        <v>81.28</v>
      </c>
      <c r="N376">
        <v>99.83</v>
      </c>
      <c r="P376">
        <v>1</v>
      </c>
    </row>
    <row r="377" spans="1:16" x14ac:dyDescent="0.3">
      <c r="A377">
        <v>375</v>
      </c>
      <c r="B377" t="str">
        <f>HYPERLINK("https://imapinvasives.natureserve.org/imap/services/page/Presence/1249940.html", "View")</f>
        <v>View</v>
      </c>
      <c r="C377">
        <v>1249940</v>
      </c>
      <c r="D377">
        <v>1258231</v>
      </c>
      <c r="E377" t="str">
        <f>HYPERLINK("http://imap3images.s3-website-us-east-1.amazonaws.com/1258231/p/inat_photo_176615689.jpg", "View")</f>
        <v>View</v>
      </c>
      <c r="F377" t="s">
        <v>17</v>
      </c>
      <c r="G377" t="s">
        <v>18</v>
      </c>
      <c r="H377">
        <v>324726</v>
      </c>
      <c r="I377" t="str">
        <f t="shared" si="15"/>
        <v>View</v>
      </c>
      <c r="J377" t="s">
        <v>17</v>
      </c>
      <c r="K377" t="s">
        <v>21</v>
      </c>
      <c r="L377">
        <v>324726</v>
      </c>
      <c r="M377">
        <v>89.66</v>
      </c>
      <c r="N377">
        <v>94.44</v>
      </c>
      <c r="P377">
        <v>1</v>
      </c>
    </row>
    <row r="378" spans="1:16" x14ac:dyDescent="0.3">
      <c r="A378">
        <v>376</v>
      </c>
      <c r="B378" t="str">
        <f>HYPERLINK("https://imapinvasives.natureserve.org/imap/services/page/Presence/1341053.html", "View")</f>
        <v>View</v>
      </c>
      <c r="C378">
        <v>1341053</v>
      </c>
      <c r="D378">
        <v>1356272</v>
      </c>
      <c r="E378" t="str">
        <f>HYPERLINK("http://imap3images.s3-website-us-east-1.amazonaws.com/1356272/p/inat_photo_299122816.jpg", "View")</f>
        <v>View</v>
      </c>
      <c r="F378" t="s">
        <v>17</v>
      </c>
      <c r="G378" t="s">
        <v>18</v>
      </c>
      <c r="H378">
        <v>324726</v>
      </c>
      <c r="I378" t="str">
        <f t="shared" si="15"/>
        <v>View</v>
      </c>
      <c r="J378" t="s">
        <v>17</v>
      </c>
      <c r="K378" t="s">
        <v>21</v>
      </c>
      <c r="L378">
        <v>324726</v>
      </c>
      <c r="M378">
        <v>64.569999999999993</v>
      </c>
      <c r="N378">
        <v>98.87</v>
      </c>
      <c r="P378">
        <v>1</v>
      </c>
    </row>
    <row r="379" spans="1:16" x14ac:dyDescent="0.3">
      <c r="A379">
        <v>377</v>
      </c>
      <c r="B379" t="str">
        <f>HYPERLINK("https://imapinvasives.natureserve.org/imap/services/page/Presence/1159647.html", "View")</f>
        <v>View</v>
      </c>
      <c r="C379">
        <v>1159647</v>
      </c>
      <c r="D379">
        <v>1166746</v>
      </c>
      <c r="E379" t="str">
        <f>HYPERLINK("http://imap3images.s3-website-us-east-1.amazonaws.com/1166746/p/inat_photo_152069859.jpg", "View")</f>
        <v>View</v>
      </c>
      <c r="F379" t="s">
        <v>17</v>
      </c>
      <c r="G379" t="s">
        <v>18</v>
      </c>
      <c r="H379">
        <v>324726</v>
      </c>
      <c r="I379" t="str">
        <f t="shared" si="15"/>
        <v>View</v>
      </c>
      <c r="J379" t="s">
        <v>17</v>
      </c>
      <c r="K379" t="s">
        <v>21</v>
      </c>
      <c r="L379">
        <v>324726</v>
      </c>
      <c r="M379">
        <v>81.28</v>
      </c>
      <c r="N379">
        <v>99.46</v>
      </c>
      <c r="P379">
        <v>1</v>
      </c>
    </row>
    <row r="380" spans="1:16" x14ac:dyDescent="0.3">
      <c r="A380">
        <v>378</v>
      </c>
      <c r="B380" t="str">
        <f>HYPERLINK("https://imapinvasives.natureserve.org/imap/services/page/Presence/1167037.html", "View")</f>
        <v>View</v>
      </c>
      <c r="C380">
        <v>1167037</v>
      </c>
      <c r="D380">
        <v>1174365</v>
      </c>
      <c r="E380" t="str">
        <f>HYPERLINK("http://imap3images.s3-website-us-east-1.amazonaws.com/1174365/p/inat_photo_161012043.jpg", "View")</f>
        <v>View</v>
      </c>
      <c r="F380" t="s">
        <v>17</v>
      </c>
      <c r="G380" t="s">
        <v>18</v>
      </c>
      <c r="H380">
        <v>324726</v>
      </c>
      <c r="I380" t="str">
        <f t="shared" si="15"/>
        <v>View</v>
      </c>
      <c r="J380" t="s">
        <v>17</v>
      </c>
      <c r="K380" t="s">
        <v>21</v>
      </c>
      <c r="L380">
        <v>324726</v>
      </c>
      <c r="M380">
        <v>81.28</v>
      </c>
      <c r="N380">
        <v>99.78</v>
      </c>
      <c r="P380">
        <v>1</v>
      </c>
    </row>
    <row r="381" spans="1:16" x14ac:dyDescent="0.3">
      <c r="A381">
        <v>379</v>
      </c>
      <c r="B381" t="str">
        <f>HYPERLINK("https://imapinvasives.natureserve.org/imap/services/page/Presence/1349575.html", "View")</f>
        <v>View</v>
      </c>
      <c r="C381">
        <v>1349575</v>
      </c>
      <c r="D381">
        <v>1366520</v>
      </c>
      <c r="E381" t="str">
        <f>HYPERLINK("http://imap3images.s3-website-us-east-1.amazonaws.com/1366520/p/inat_photo_312594023.jpg", "View")</f>
        <v>View</v>
      </c>
      <c r="F381" t="s">
        <v>17</v>
      </c>
      <c r="G381" t="s">
        <v>18</v>
      </c>
      <c r="H381">
        <v>324726</v>
      </c>
      <c r="I381" t="str">
        <f t="shared" si="15"/>
        <v>View</v>
      </c>
      <c r="J381" t="s">
        <v>17</v>
      </c>
      <c r="K381" t="s">
        <v>21</v>
      </c>
      <c r="L381">
        <v>324726</v>
      </c>
      <c r="M381">
        <v>76.7</v>
      </c>
      <c r="N381">
        <v>98.35</v>
      </c>
      <c r="P381">
        <v>1</v>
      </c>
    </row>
    <row r="382" spans="1:16" x14ac:dyDescent="0.3">
      <c r="A382">
        <v>380</v>
      </c>
      <c r="B382" t="str">
        <f>HYPERLINK("https://imapinvasives.natureserve.org/imap/services/page/Presence/1355024.html", "View")</f>
        <v>View</v>
      </c>
      <c r="C382">
        <v>1355024</v>
      </c>
      <c r="D382">
        <v>1372656</v>
      </c>
      <c r="E382" t="str">
        <f>HYPERLINK("http://imap3images.s3-website-us-east-1.amazonaws.com/1372656/p/AA2968DC-50D3-4CE7-9885-3CFEE4336599.jpeg", "View")</f>
        <v>View</v>
      </c>
      <c r="F382" t="s">
        <v>17</v>
      </c>
      <c r="G382" t="s">
        <v>18</v>
      </c>
      <c r="H382">
        <v>324726</v>
      </c>
      <c r="I382" t="str">
        <f t="shared" si="15"/>
        <v>View</v>
      </c>
      <c r="J382" t="s">
        <v>17</v>
      </c>
      <c r="K382" t="s">
        <v>21</v>
      </c>
      <c r="L382">
        <v>324726</v>
      </c>
      <c r="M382">
        <v>81.28</v>
      </c>
      <c r="N382">
        <v>100</v>
      </c>
      <c r="P382">
        <v>1</v>
      </c>
    </row>
    <row r="383" spans="1:16" x14ac:dyDescent="0.3">
      <c r="A383">
        <v>381</v>
      </c>
      <c r="B383" t="str">
        <f>HYPERLINK("https://imapinvasives.natureserve.org/imap/services/page/Presence/1163493.html", "View")</f>
        <v>View</v>
      </c>
      <c r="C383">
        <v>1163493</v>
      </c>
      <c r="D383">
        <v>1170683</v>
      </c>
      <c r="E383" t="str">
        <f>HYPERLINK("http://imap3images.s3-website-us-east-1.amazonaws.com/1170683/p/inat_photo_157184522.jpg", "View")</f>
        <v>View</v>
      </c>
      <c r="F383" t="s">
        <v>17</v>
      </c>
      <c r="G383" t="s">
        <v>18</v>
      </c>
      <c r="H383">
        <v>324726</v>
      </c>
      <c r="I383" t="str">
        <f t="shared" si="15"/>
        <v>View</v>
      </c>
      <c r="J383" t="s">
        <v>17</v>
      </c>
      <c r="K383" t="s">
        <v>21</v>
      </c>
      <c r="L383">
        <v>324726</v>
      </c>
      <c r="M383">
        <v>81.28</v>
      </c>
      <c r="N383">
        <v>99.8</v>
      </c>
      <c r="P383">
        <v>1</v>
      </c>
    </row>
    <row r="384" spans="1:16" x14ac:dyDescent="0.3">
      <c r="A384">
        <v>382</v>
      </c>
      <c r="B384" t="str">
        <f>HYPERLINK("https://imapinvasives.natureserve.org/imap/services/page/Presence/1071794.html", "View")</f>
        <v>View</v>
      </c>
      <c r="C384">
        <v>1071794</v>
      </c>
      <c r="D384">
        <v>1076842</v>
      </c>
      <c r="E384" t="str">
        <f>HYPERLINK("http://imap3images.s3-website-us-east-1.amazonaws.com/1076842/p/Fauna-OrangeCoNY-SpottedLanternfly-Site1-Adults-LRohleder-20201023.jpg", "View")</f>
        <v>View</v>
      </c>
      <c r="F384" t="s">
        <v>17</v>
      </c>
      <c r="G384" t="s">
        <v>18</v>
      </c>
      <c r="H384">
        <v>324726</v>
      </c>
      <c r="I384" t="str">
        <f t="shared" si="15"/>
        <v>View</v>
      </c>
      <c r="J384" t="s">
        <v>17</v>
      </c>
      <c r="K384" t="s">
        <v>21</v>
      </c>
      <c r="L384">
        <v>324726</v>
      </c>
      <c r="M384">
        <v>83.23</v>
      </c>
      <c r="N384">
        <v>99.82</v>
      </c>
      <c r="P384">
        <v>1</v>
      </c>
    </row>
    <row r="385" spans="1:16" x14ac:dyDescent="0.3">
      <c r="A385">
        <v>383</v>
      </c>
      <c r="B385" t="str">
        <f>HYPERLINK("https://imapinvasives.natureserve.org/imap/services/page/Presence/1159656.html", "View")</f>
        <v>View</v>
      </c>
      <c r="C385">
        <v>1159656</v>
      </c>
      <c r="D385">
        <v>1166755</v>
      </c>
      <c r="E385" t="str">
        <f>HYPERLINK("http://imap3images.s3-website-us-east-1.amazonaws.com/1166755/p/inat_photo_152293481.jpg", "View")</f>
        <v>View</v>
      </c>
      <c r="F385" t="s">
        <v>17</v>
      </c>
      <c r="G385" t="s">
        <v>18</v>
      </c>
      <c r="H385">
        <v>324726</v>
      </c>
      <c r="I385" t="str">
        <f t="shared" si="15"/>
        <v>View</v>
      </c>
      <c r="J385" t="s">
        <v>17</v>
      </c>
      <c r="K385" t="s">
        <v>21</v>
      </c>
      <c r="L385">
        <v>324726</v>
      </c>
      <c r="M385">
        <v>89.66</v>
      </c>
      <c r="N385">
        <v>99.82</v>
      </c>
      <c r="P385">
        <v>1</v>
      </c>
    </row>
    <row r="386" spans="1:16" x14ac:dyDescent="0.3">
      <c r="A386">
        <v>384</v>
      </c>
      <c r="B386" t="str">
        <f>HYPERLINK("https://imapinvasives.natureserve.org/imap/services/page/Presence/1273374.html", "View")</f>
        <v>View</v>
      </c>
      <c r="C386">
        <v>1273374</v>
      </c>
      <c r="D386">
        <v>1282510</v>
      </c>
      <c r="E386" t="str">
        <f>HYPERLINK("http://imap3images.s3-website-us-east-1.amazonaws.com/1282510/p/inat_photo_201743149.jpg", "View")</f>
        <v>View</v>
      </c>
      <c r="F386" t="s">
        <v>17</v>
      </c>
      <c r="G386" t="s">
        <v>18</v>
      </c>
      <c r="H386">
        <v>324726</v>
      </c>
      <c r="I386" t="str">
        <f t="shared" si="15"/>
        <v>View</v>
      </c>
      <c r="J386" t="s">
        <v>17</v>
      </c>
      <c r="K386" t="s">
        <v>21</v>
      </c>
      <c r="L386">
        <v>324726</v>
      </c>
      <c r="M386">
        <v>89.66</v>
      </c>
      <c r="N386">
        <v>99.76</v>
      </c>
      <c r="P386">
        <v>1</v>
      </c>
    </row>
    <row r="387" spans="1:16" x14ac:dyDescent="0.3">
      <c r="A387">
        <v>385</v>
      </c>
      <c r="B387" t="str">
        <f>HYPERLINK("https://imapinvasives.natureserve.org/imap/services/page/Presence/1167028.html", "View")</f>
        <v>View</v>
      </c>
      <c r="C387">
        <v>1167028</v>
      </c>
      <c r="D387">
        <v>1174356</v>
      </c>
      <c r="E387" t="str">
        <f>HYPERLINK("http://imap3images.s3-website-us-east-1.amazonaws.com/1174356/p/inat_photo_160923752.jpg", "View")</f>
        <v>View</v>
      </c>
      <c r="F387" t="s">
        <v>17</v>
      </c>
      <c r="G387" t="s">
        <v>18</v>
      </c>
      <c r="H387">
        <v>324726</v>
      </c>
      <c r="I387" t="str">
        <f t="shared" si="15"/>
        <v>View</v>
      </c>
      <c r="J387" t="s">
        <v>17</v>
      </c>
      <c r="K387" t="s">
        <v>21</v>
      </c>
      <c r="L387">
        <v>324726</v>
      </c>
      <c r="M387">
        <v>81.28</v>
      </c>
      <c r="N387">
        <v>99.91</v>
      </c>
      <c r="P387">
        <v>1</v>
      </c>
    </row>
    <row r="388" spans="1:16" x14ac:dyDescent="0.3">
      <c r="A388">
        <v>386</v>
      </c>
      <c r="B388" t="str">
        <f>HYPERLINK("https://imapinvasives.natureserve.org/imap/services/page/Presence/1349024.html", "View")</f>
        <v>View</v>
      </c>
      <c r="C388">
        <v>1349024</v>
      </c>
      <c r="D388">
        <v>1365795</v>
      </c>
      <c r="E388" t="str">
        <f>HYPERLINK("http://imap3images.s3-website-us-east-1.amazonaws.com/1365795/p/imap_app_photo_1692553760690.jpg", "View")</f>
        <v>View</v>
      </c>
      <c r="F388" t="s">
        <v>17</v>
      </c>
      <c r="G388" t="s">
        <v>18</v>
      </c>
      <c r="H388">
        <v>324726</v>
      </c>
      <c r="I388" t="str">
        <f t="shared" si="15"/>
        <v>View</v>
      </c>
      <c r="J388" t="s">
        <v>17</v>
      </c>
      <c r="K388" t="s">
        <v>21</v>
      </c>
      <c r="L388">
        <v>324726</v>
      </c>
      <c r="M388">
        <v>4.8499999999999996</v>
      </c>
      <c r="N388">
        <v>98.27</v>
      </c>
      <c r="P388">
        <v>1</v>
      </c>
    </row>
    <row r="389" spans="1:16" x14ac:dyDescent="0.3">
      <c r="A389">
        <v>387</v>
      </c>
      <c r="B389" t="str">
        <f>HYPERLINK("https://imapinvasives.natureserve.org/imap/services/page/Presence/1165543.html", "View")</f>
        <v>View</v>
      </c>
      <c r="C389">
        <v>1165543</v>
      </c>
      <c r="D389">
        <v>1172807</v>
      </c>
      <c r="E389" t="str">
        <f>HYPERLINK("http://imap3images.s3-website-us-east-1.amazonaws.com/1172807/p/inat_photo_160282141.jpg", "View")</f>
        <v>View</v>
      </c>
      <c r="F389" t="s">
        <v>17</v>
      </c>
      <c r="G389" t="s">
        <v>18</v>
      </c>
      <c r="H389">
        <v>324726</v>
      </c>
      <c r="I389" t="str">
        <f t="shared" si="15"/>
        <v>View</v>
      </c>
      <c r="J389" t="s">
        <v>17</v>
      </c>
      <c r="K389" t="s">
        <v>21</v>
      </c>
      <c r="L389">
        <v>324726</v>
      </c>
      <c r="M389">
        <v>89.66</v>
      </c>
      <c r="N389">
        <v>99.35</v>
      </c>
      <c r="P389">
        <v>1</v>
      </c>
    </row>
    <row r="390" spans="1:16" x14ac:dyDescent="0.3">
      <c r="A390">
        <v>388</v>
      </c>
      <c r="B390" t="str">
        <f>HYPERLINK("https://imapinvasives.natureserve.org/imap/services/page/Presence/1164670.html", "View")</f>
        <v>View</v>
      </c>
      <c r="C390">
        <v>1164670</v>
      </c>
      <c r="D390">
        <v>1171914</v>
      </c>
      <c r="E390" t="str">
        <f>HYPERLINK("http://imap3images.s3-website-us-east-1.amazonaws.com/1171914/p/20210917_140233.jpg", "View")</f>
        <v>View</v>
      </c>
      <c r="F390" t="s">
        <v>17</v>
      </c>
      <c r="G390" t="s">
        <v>18</v>
      </c>
      <c r="H390">
        <v>324726</v>
      </c>
      <c r="I390" t="str">
        <f t="shared" si="15"/>
        <v>View</v>
      </c>
      <c r="J390" t="s">
        <v>17</v>
      </c>
      <c r="K390" t="s">
        <v>21</v>
      </c>
      <c r="L390">
        <v>324726</v>
      </c>
      <c r="M390">
        <v>61.19</v>
      </c>
      <c r="N390">
        <v>99.97</v>
      </c>
      <c r="P390">
        <v>1</v>
      </c>
    </row>
    <row r="391" spans="1:16" x14ac:dyDescent="0.3">
      <c r="A391">
        <v>389</v>
      </c>
      <c r="B391" t="str">
        <f>HYPERLINK("https://imapinvasives.natureserve.org/imap/services/page/Presence/1165054.html", "View")</f>
        <v>View</v>
      </c>
      <c r="C391">
        <v>1165054</v>
      </c>
      <c r="D391">
        <v>1172313</v>
      </c>
      <c r="E391" t="str">
        <f>HYPERLINK("http://imap3images.s3-website-us-east-1.amazonaws.com/1172313/p/inat_photo_159705519.jpg", "View")</f>
        <v>View</v>
      </c>
      <c r="F391" t="s">
        <v>17</v>
      </c>
      <c r="G391" t="s">
        <v>18</v>
      </c>
      <c r="H391">
        <v>324726</v>
      </c>
      <c r="I391" t="str">
        <f t="shared" si="15"/>
        <v>View</v>
      </c>
      <c r="J391" t="s">
        <v>17</v>
      </c>
      <c r="K391" t="s">
        <v>21</v>
      </c>
      <c r="L391">
        <v>324726</v>
      </c>
      <c r="M391">
        <v>81.28</v>
      </c>
      <c r="N391">
        <v>99.98</v>
      </c>
      <c r="P391">
        <v>1</v>
      </c>
    </row>
    <row r="392" spans="1:16" x14ac:dyDescent="0.3">
      <c r="A392">
        <v>390</v>
      </c>
      <c r="B392" t="str">
        <f>HYPERLINK("https://imapinvasives.natureserve.org/imap/services/page/Presence/1159064.html", "View")</f>
        <v>View</v>
      </c>
      <c r="C392">
        <v>1159064</v>
      </c>
      <c r="D392">
        <v>1166140</v>
      </c>
      <c r="E392" t="str">
        <f>HYPERLINK("http://imap3images.s3-website-us-east-1.amazonaws.com/1166140/p/inat_photo_150791850.jpg", "View")</f>
        <v>View</v>
      </c>
      <c r="F392" t="s">
        <v>17</v>
      </c>
      <c r="G392" t="s">
        <v>18</v>
      </c>
      <c r="H392">
        <v>324726</v>
      </c>
      <c r="I392" t="str">
        <f t="shared" si="15"/>
        <v>View</v>
      </c>
      <c r="J392" t="s">
        <v>17</v>
      </c>
      <c r="K392" t="s">
        <v>21</v>
      </c>
      <c r="L392">
        <v>324726</v>
      </c>
      <c r="M392">
        <v>89.66</v>
      </c>
      <c r="N392">
        <v>99.86</v>
      </c>
      <c r="P392">
        <v>1</v>
      </c>
    </row>
    <row r="393" spans="1:16" x14ac:dyDescent="0.3">
      <c r="A393">
        <v>391</v>
      </c>
      <c r="B393" t="str">
        <f>HYPERLINK("https://imapinvasives.natureserve.org/imap/services/page/Presence/1434836.html", "View")</f>
        <v>View</v>
      </c>
      <c r="C393">
        <v>1434836</v>
      </c>
      <c r="D393">
        <v>1448526</v>
      </c>
      <c r="E393" t="str">
        <f>HYPERLINK("http://imap3images.s3-website-us-east-1.amazonaws.com/1448526/p/IMG_0932.jpeg", "View")</f>
        <v>View</v>
      </c>
      <c r="F393" t="s">
        <v>17</v>
      </c>
      <c r="G393" t="s">
        <v>18</v>
      </c>
      <c r="H393">
        <v>324726</v>
      </c>
      <c r="I393" t="str">
        <f t="shared" si="15"/>
        <v>View</v>
      </c>
      <c r="J393" t="s">
        <v>17</v>
      </c>
      <c r="K393" t="s">
        <v>21</v>
      </c>
      <c r="L393">
        <v>324726</v>
      </c>
      <c r="M393">
        <v>63.27</v>
      </c>
      <c r="N393">
        <v>99.95</v>
      </c>
      <c r="P393">
        <v>1</v>
      </c>
    </row>
    <row r="394" spans="1:16" x14ac:dyDescent="0.3">
      <c r="A394">
        <v>392</v>
      </c>
      <c r="B394" t="str">
        <f>HYPERLINK("https://imapinvasives.natureserve.org/imap/services/page/Presence/1249198.html", "View")</f>
        <v>View</v>
      </c>
      <c r="C394">
        <v>1249198</v>
      </c>
      <c r="D394">
        <v>1257353</v>
      </c>
      <c r="E394" t="str">
        <f>HYPERLINK("http://imap3images.s3-website-us-east-1.amazonaws.com/1257353/p/inat_photo_168371627.jpg", "View")</f>
        <v>View</v>
      </c>
      <c r="F394" t="s">
        <v>17</v>
      </c>
      <c r="G394" t="s">
        <v>18</v>
      </c>
      <c r="H394">
        <v>324726</v>
      </c>
      <c r="I394" t="str">
        <f t="shared" si="15"/>
        <v>View</v>
      </c>
      <c r="J394" t="s">
        <v>17</v>
      </c>
      <c r="K394" t="s">
        <v>21</v>
      </c>
      <c r="L394">
        <v>324726</v>
      </c>
      <c r="M394">
        <v>89.66</v>
      </c>
      <c r="N394">
        <v>99.28</v>
      </c>
      <c r="P394">
        <v>1</v>
      </c>
    </row>
    <row r="395" spans="1:16" x14ac:dyDescent="0.3">
      <c r="A395">
        <v>393</v>
      </c>
      <c r="B395" t="str">
        <f>HYPERLINK("https://imapinvasives.natureserve.org/imap/services/page/Presence/1180110.html", "View")</f>
        <v>View</v>
      </c>
      <c r="C395">
        <v>1180110</v>
      </c>
      <c r="D395">
        <v>1187958</v>
      </c>
      <c r="E395" t="str">
        <f>HYPERLINK("http://imap3images.s3-website-us-east-1.amazonaws.com/1187958/p/inat_photo_167636983.jpg", "View")</f>
        <v>View</v>
      </c>
      <c r="F395" t="s">
        <v>17</v>
      </c>
      <c r="G395" t="s">
        <v>18</v>
      </c>
      <c r="H395">
        <v>324726</v>
      </c>
      <c r="I395" t="str">
        <f>HYPERLINK("https://www.inaturalist.org/taxa/119994-Vespula-maculifrons", "View")</f>
        <v>View</v>
      </c>
      <c r="J395" t="s">
        <v>73</v>
      </c>
      <c r="K395" t="s">
        <v>74</v>
      </c>
      <c r="L395">
        <v>119994</v>
      </c>
      <c r="M395">
        <v>77.78</v>
      </c>
      <c r="N395">
        <v>83.34</v>
      </c>
      <c r="P395">
        <v>0</v>
      </c>
    </row>
    <row r="396" spans="1:16" x14ac:dyDescent="0.3">
      <c r="A396">
        <v>394</v>
      </c>
      <c r="B396" t="str">
        <f>HYPERLINK("https://imapinvasives.natureserve.org/imap/services/page/Presence/1162082.html", "View")</f>
        <v>View</v>
      </c>
      <c r="C396">
        <v>1162082</v>
      </c>
      <c r="D396">
        <v>1169250</v>
      </c>
      <c r="E396" t="str">
        <f>HYPERLINK("http://imap3images.s3-website-us-east-1.amazonaws.com/1169250/p/inat_photo_155217872.jpg", "View")</f>
        <v>View</v>
      </c>
      <c r="F396" t="s">
        <v>17</v>
      </c>
      <c r="G396" t="s">
        <v>18</v>
      </c>
      <c r="H396">
        <v>324726</v>
      </c>
      <c r="I396" t="str">
        <f t="shared" ref="I396:I413" si="16">HYPERLINK("https://www.inaturalist.org/taxa/324726-Lycorma-delicatula", "View")</f>
        <v>View</v>
      </c>
      <c r="J396" t="s">
        <v>17</v>
      </c>
      <c r="K396" t="s">
        <v>21</v>
      </c>
      <c r="L396">
        <v>324726</v>
      </c>
      <c r="M396">
        <v>81.28</v>
      </c>
      <c r="N396">
        <v>99.92</v>
      </c>
      <c r="P396">
        <v>1</v>
      </c>
    </row>
    <row r="397" spans="1:16" x14ac:dyDescent="0.3">
      <c r="A397">
        <v>395</v>
      </c>
      <c r="B397" t="str">
        <f>HYPERLINK("https://imapinvasives.natureserve.org/imap/services/page/Presence/1413763.html", "View")</f>
        <v>View</v>
      </c>
      <c r="C397">
        <v>1413763</v>
      </c>
      <c r="D397">
        <v>1427258</v>
      </c>
      <c r="E397" t="str">
        <f>HYPERLINK("http://imap3images.s3-website-us-east-1.amazonaws.com/1427258/p/imap_app_photo_1719524333685.jpg", "View")</f>
        <v>View</v>
      </c>
      <c r="F397" t="s">
        <v>17</v>
      </c>
      <c r="G397" t="s">
        <v>18</v>
      </c>
      <c r="H397">
        <v>324726</v>
      </c>
      <c r="I397" t="str">
        <f t="shared" si="16"/>
        <v>View</v>
      </c>
      <c r="J397" t="s">
        <v>17</v>
      </c>
      <c r="K397" t="s">
        <v>21</v>
      </c>
      <c r="L397">
        <v>324726</v>
      </c>
      <c r="M397">
        <v>76.7</v>
      </c>
      <c r="N397">
        <v>99.23</v>
      </c>
      <c r="P397">
        <v>1</v>
      </c>
    </row>
    <row r="398" spans="1:16" x14ac:dyDescent="0.3">
      <c r="A398">
        <v>396</v>
      </c>
      <c r="B398" t="str">
        <f>HYPERLINK("https://imapinvasives.natureserve.org/imap/services/page/Presence/1153625.html", "View")</f>
        <v>View</v>
      </c>
      <c r="C398">
        <v>1153625</v>
      </c>
      <c r="D398">
        <v>1160610</v>
      </c>
      <c r="E398" t="str">
        <f>HYPERLINK("http://imap3images.s3-website-us-east-1.amazonaws.com/1160610/p/inat_photo_146909681.jpg", "View")</f>
        <v>View</v>
      </c>
      <c r="F398" t="s">
        <v>17</v>
      </c>
      <c r="G398" t="s">
        <v>18</v>
      </c>
      <c r="H398">
        <v>324726</v>
      </c>
      <c r="I398" t="str">
        <f t="shared" si="16"/>
        <v>View</v>
      </c>
      <c r="J398" t="s">
        <v>17</v>
      </c>
      <c r="K398" t="s">
        <v>21</v>
      </c>
      <c r="L398">
        <v>324726</v>
      </c>
      <c r="M398">
        <v>89.66</v>
      </c>
      <c r="N398">
        <v>99.99</v>
      </c>
      <c r="P398">
        <v>1</v>
      </c>
    </row>
    <row r="399" spans="1:16" x14ac:dyDescent="0.3">
      <c r="A399">
        <v>397</v>
      </c>
      <c r="B399" t="str">
        <f>HYPERLINK("https://imapinvasives.natureserve.org/imap/services/page/Presence/1068480.html", "View")</f>
        <v>View</v>
      </c>
      <c r="C399">
        <v>1068480</v>
      </c>
      <c r="D399">
        <v>1073307</v>
      </c>
      <c r="E399" t="str">
        <f>HYPERLINK("http://imap3images.s3-website-us-east-1.amazonaws.com/1073307/p/inat_photo_93591620.jpg", "View")</f>
        <v>View</v>
      </c>
      <c r="F399" t="s">
        <v>17</v>
      </c>
      <c r="G399" t="s">
        <v>18</v>
      </c>
      <c r="H399">
        <v>324726</v>
      </c>
      <c r="I399" t="str">
        <f t="shared" si="16"/>
        <v>View</v>
      </c>
      <c r="J399" t="s">
        <v>17</v>
      </c>
      <c r="K399" t="s">
        <v>21</v>
      </c>
      <c r="L399">
        <v>324726</v>
      </c>
      <c r="M399">
        <v>89.66</v>
      </c>
      <c r="N399">
        <v>99.78</v>
      </c>
      <c r="P399">
        <v>1</v>
      </c>
    </row>
    <row r="400" spans="1:16" x14ac:dyDescent="0.3">
      <c r="A400">
        <v>398</v>
      </c>
      <c r="B400" t="str">
        <f>HYPERLINK("https://imapinvasives.natureserve.org/imap/services/page/Presence/1159078.html", "View")</f>
        <v>View</v>
      </c>
      <c r="C400">
        <v>1159078</v>
      </c>
      <c r="D400">
        <v>1166154</v>
      </c>
      <c r="E400" t="str">
        <f>HYPERLINK("http://imap3images.s3-website-us-east-1.amazonaws.com/1166154/p/inat_photo_150969540.jpg", "View")</f>
        <v>View</v>
      </c>
      <c r="F400" t="s">
        <v>17</v>
      </c>
      <c r="G400" t="s">
        <v>18</v>
      </c>
      <c r="H400">
        <v>324726</v>
      </c>
      <c r="I400" t="str">
        <f t="shared" si="16"/>
        <v>View</v>
      </c>
      <c r="J400" t="s">
        <v>17</v>
      </c>
      <c r="K400" t="s">
        <v>21</v>
      </c>
      <c r="L400">
        <v>324726</v>
      </c>
      <c r="M400">
        <v>81.28</v>
      </c>
      <c r="N400">
        <v>97.5</v>
      </c>
      <c r="P400">
        <v>1</v>
      </c>
    </row>
    <row r="401" spans="1:16" x14ac:dyDescent="0.3">
      <c r="A401">
        <v>399</v>
      </c>
      <c r="B401" t="str">
        <f>HYPERLINK("https://imapinvasives.natureserve.org/imap/services/page/Presence/1164064.html", "View")</f>
        <v>View</v>
      </c>
      <c r="C401">
        <v>1164064</v>
      </c>
      <c r="D401">
        <v>1171295</v>
      </c>
      <c r="E401" t="str">
        <f>HYPERLINK("http://imap3images.s3-website-us-east-1.amazonaws.com/1171295/p/inat_photo_157946121.jpg", "View")</f>
        <v>View</v>
      </c>
      <c r="F401" t="s">
        <v>17</v>
      </c>
      <c r="G401" t="s">
        <v>18</v>
      </c>
      <c r="H401">
        <v>324726</v>
      </c>
      <c r="I401" t="str">
        <f t="shared" si="16"/>
        <v>View</v>
      </c>
      <c r="J401" t="s">
        <v>17</v>
      </c>
      <c r="K401" t="s">
        <v>21</v>
      </c>
      <c r="L401">
        <v>324726</v>
      </c>
      <c r="M401">
        <v>81.28</v>
      </c>
      <c r="N401">
        <v>99.91</v>
      </c>
      <c r="P401">
        <v>1</v>
      </c>
    </row>
    <row r="402" spans="1:16" x14ac:dyDescent="0.3">
      <c r="A402">
        <v>400</v>
      </c>
      <c r="B402" t="str">
        <f>HYPERLINK("https://imapinvasives.natureserve.org/imap/services/page/Presence/1296965.html", "View")</f>
        <v>View</v>
      </c>
      <c r="C402">
        <v>1296965</v>
      </c>
      <c r="D402">
        <v>1307195</v>
      </c>
      <c r="E402" t="str">
        <f>HYPERLINK("http://imap3images.s3-website-us-east-1.amazonaws.com/1307195/p/imap_app_photo_1663787769428.jpg", "View")</f>
        <v>View</v>
      </c>
      <c r="F402" t="s">
        <v>17</v>
      </c>
      <c r="G402" t="s">
        <v>18</v>
      </c>
      <c r="H402">
        <v>324726</v>
      </c>
      <c r="I402" t="str">
        <f t="shared" si="16"/>
        <v>View</v>
      </c>
      <c r="J402" t="s">
        <v>17</v>
      </c>
      <c r="K402" t="s">
        <v>21</v>
      </c>
      <c r="L402">
        <v>324726</v>
      </c>
      <c r="M402">
        <v>81.28</v>
      </c>
      <c r="N402">
        <v>99.45</v>
      </c>
      <c r="P402">
        <v>1</v>
      </c>
    </row>
    <row r="403" spans="1:16" x14ac:dyDescent="0.3">
      <c r="A403">
        <v>401</v>
      </c>
      <c r="B403" t="str">
        <f>HYPERLINK("https://imapinvasives.natureserve.org/imap/services/page/Presence/1343559.html", "View")</f>
        <v>View</v>
      </c>
      <c r="C403">
        <v>1343559</v>
      </c>
      <c r="D403">
        <v>1359148</v>
      </c>
      <c r="E403" t="str">
        <f>HYPERLINK("http://imap3images.s3-website-us-east-1.amazonaws.com/1359148/p/inat_photo_303273795.jpg", "View")</f>
        <v>View</v>
      </c>
      <c r="F403" t="s">
        <v>17</v>
      </c>
      <c r="G403" t="s">
        <v>18</v>
      </c>
      <c r="H403">
        <v>324726</v>
      </c>
      <c r="I403" t="str">
        <f t="shared" si="16"/>
        <v>View</v>
      </c>
      <c r="J403" t="s">
        <v>17</v>
      </c>
      <c r="K403" t="s">
        <v>21</v>
      </c>
      <c r="L403">
        <v>324726</v>
      </c>
      <c r="M403">
        <v>76.52</v>
      </c>
      <c r="N403">
        <v>99.92</v>
      </c>
      <c r="P403">
        <v>1</v>
      </c>
    </row>
    <row r="404" spans="1:16" x14ac:dyDescent="0.3">
      <c r="A404">
        <v>402</v>
      </c>
      <c r="B404" t="str">
        <f>HYPERLINK("https://imapinvasives.natureserve.org/imap/services/page/Presence/1165816.html", "View")</f>
        <v>View</v>
      </c>
      <c r="C404">
        <v>1165816</v>
      </c>
      <c r="D404">
        <v>1173085</v>
      </c>
      <c r="E404" t="str">
        <f>HYPERLINK("http://imap3images.s3-website-us-east-1.amazonaws.com/1173085/p/inat_photo_160717741.jpg", "View")</f>
        <v>View</v>
      </c>
      <c r="F404" t="s">
        <v>17</v>
      </c>
      <c r="G404" t="s">
        <v>18</v>
      </c>
      <c r="H404">
        <v>324726</v>
      </c>
      <c r="I404" t="str">
        <f t="shared" si="16"/>
        <v>View</v>
      </c>
      <c r="J404" t="s">
        <v>17</v>
      </c>
      <c r="K404" t="s">
        <v>21</v>
      </c>
      <c r="L404">
        <v>324726</v>
      </c>
      <c r="M404">
        <v>81.28</v>
      </c>
      <c r="N404">
        <v>99.47</v>
      </c>
      <c r="P404">
        <v>1</v>
      </c>
    </row>
    <row r="405" spans="1:16" x14ac:dyDescent="0.3">
      <c r="A405">
        <v>403</v>
      </c>
      <c r="B405" t="str">
        <f>HYPERLINK("https://imapinvasives.natureserve.org/imap/services/page/Presence/1159905.html", "View")</f>
        <v>View</v>
      </c>
      <c r="C405">
        <v>1159905</v>
      </c>
      <c r="D405">
        <v>1167014</v>
      </c>
      <c r="E405" t="str">
        <f>HYPERLINK("http://imap3images.s3-website-us-east-1.amazonaws.com/1167014/p/inat_photo_153044375.jpg", "View")</f>
        <v>View</v>
      </c>
      <c r="F405" t="s">
        <v>17</v>
      </c>
      <c r="G405" t="s">
        <v>18</v>
      </c>
      <c r="H405">
        <v>324726</v>
      </c>
      <c r="I405" t="str">
        <f t="shared" si="16"/>
        <v>View</v>
      </c>
      <c r="J405" t="s">
        <v>17</v>
      </c>
      <c r="K405" t="s">
        <v>21</v>
      </c>
      <c r="L405">
        <v>324726</v>
      </c>
      <c r="M405">
        <v>63.27</v>
      </c>
      <c r="N405">
        <v>99.52</v>
      </c>
      <c r="P405">
        <v>1</v>
      </c>
    </row>
    <row r="406" spans="1:16" x14ac:dyDescent="0.3">
      <c r="A406">
        <v>404</v>
      </c>
      <c r="B406" t="str">
        <f>HYPERLINK("https://imapinvasives.natureserve.org/imap/services/page/Presence/1132367.html", "View")</f>
        <v>View</v>
      </c>
      <c r="C406">
        <v>1132367</v>
      </c>
      <c r="D406">
        <v>1138760</v>
      </c>
      <c r="E406" t="str">
        <f>HYPERLINK("http://imap3images.s3-website-us-east-1.amazonaws.com/1138760/p/imap_app_photo_1619388139298.jpg", "View")</f>
        <v>View</v>
      </c>
      <c r="F406" t="s">
        <v>17</v>
      </c>
      <c r="G406" t="s">
        <v>18</v>
      </c>
      <c r="H406">
        <v>324726</v>
      </c>
      <c r="I406" t="str">
        <f t="shared" si="16"/>
        <v>View</v>
      </c>
      <c r="J406" t="s">
        <v>17</v>
      </c>
      <c r="K406" t="s">
        <v>21</v>
      </c>
      <c r="L406">
        <v>324726</v>
      </c>
      <c r="M406">
        <v>64.569999999999993</v>
      </c>
      <c r="N406">
        <v>15.26</v>
      </c>
      <c r="P406">
        <v>1</v>
      </c>
    </row>
    <row r="407" spans="1:16" x14ac:dyDescent="0.3">
      <c r="A407">
        <v>405</v>
      </c>
      <c r="B407" t="str">
        <f>HYPERLINK("https://imapinvasives.natureserve.org/imap/services/page/Presence/1172147.html", "View")</f>
        <v>View</v>
      </c>
      <c r="C407">
        <v>1172147</v>
      </c>
      <c r="D407">
        <v>1179680</v>
      </c>
      <c r="E407" t="str">
        <f>HYPERLINK("http://imap3images.s3-website-us-east-1.amazonaws.com/1179680/p/inat_photo_163140600.jpg", "View")</f>
        <v>View</v>
      </c>
      <c r="F407" t="s">
        <v>17</v>
      </c>
      <c r="G407" t="s">
        <v>18</v>
      </c>
      <c r="H407">
        <v>324726</v>
      </c>
      <c r="I407" t="str">
        <f t="shared" si="16"/>
        <v>View</v>
      </c>
      <c r="J407" t="s">
        <v>17</v>
      </c>
      <c r="K407" t="s">
        <v>21</v>
      </c>
      <c r="L407">
        <v>324726</v>
      </c>
      <c r="M407">
        <v>81.28</v>
      </c>
      <c r="N407">
        <v>99.97</v>
      </c>
      <c r="P407">
        <v>1</v>
      </c>
    </row>
    <row r="408" spans="1:16" x14ac:dyDescent="0.3">
      <c r="A408">
        <v>406</v>
      </c>
      <c r="B408" t="str">
        <f>HYPERLINK("https://imapinvasives.natureserve.org/imap/services/page/Presence/1309160.html", "View")</f>
        <v>View</v>
      </c>
      <c r="C408">
        <v>1309160</v>
      </c>
      <c r="D408">
        <v>1319693</v>
      </c>
      <c r="E408" t="str">
        <f>HYPERLINK("http://imap3images.s3-website-us-east-1.amazonaws.com/1319693/p/imap_app_photo_1670272185781.jpg", "View")</f>
        <v>View</v>
      </c>
      <c r="F408" t="s">
        <v>17</v>
      </c>
      <c r="G408" t="s">
        <v>18</v>
      </c>
      <c r="H408">
        <v>324726</v>
      </c>
      <c r="I408" t="str">
        <f t="shared" si="16"/>
        <v>View</v>
      </c>
      <c r="J408" t="s">
        <v>17</v>
      </c>
      <c r="K408" t="s">
        <v>21</v>
      </c>
      <c r="L408">
        <v>324726</v>
      </c>
      <c r="M408">
        <v>57.71</v>
      </c>
      <c r="N408">
        <v>98.4</v>
      </c>
      <c r="P408">
        <v>1</v>
      </c>
    </row>
    <row r="409" spans="1:16" x14ac:dyDescent="0.3">
      <c r="A409">
        <v>407</v>
      </c>
      <c r="B409" t="str">
        <f>HYPERLINK("https://imapinvasives.natureserve.org/imap/services/page/Presence/1145376.html", "View")</f>
        <v>View</v>
      </c>
      <c r="C409">
        <v>1145376</v>
      </c>
      <c r="D409">
        <v>1151908</v>
      </c>
      <c r="E409" t="str">
        <f>HYPERLINK("http://imap3images.s3-website-us-east-1.amazonaws.com/1151908/p/inat_photo_135252496.jpg", "View")</f>
        <v>View</v>
      </c>
      <c r="F409" t="s">
        <v>17</v>
      </c>
      <c r="G409" t="s">
        <v>18</v>
      </c>
      <c r="H409">
        <v>324726</v>
      </c>
      <c r="I409" t="str">
        <f t="shared" si="16"/>
        <v>View</v>
      </c>
      <c r="J409" t="s">
        <v>17</v>
      </c>
      <c r="K409" t="s">
        <v>21</v>
      </c>
      <c r="L409">
        <v>324726</v>
      </c>
      <c r="M409">
        <v>89.66</v>
      </c>
      <c r="N409">
        <v>11.56</v>
      </c>
      <c r="P409">
        <v>1</v>
      </c>
    </row>
    <row r="410" spans="1:16" x14ac:dyDescent="0.3">
      <c r="A410">
        <v>408</v>
      </c>
      <c r="B410" t="str">
        <f>HYPERLINK("https://imapinvasives.natureserve.org/imap/services/page/Presence/1153624.html", "View")</f>
        <v>View</v>
      </c>
      <c r="C410">
        <v>1153624</v>
      </c>
      <c r="D410">
        <v>1160609</v>
      </c>
      <c r="E410" t="str">
        <f>HYPERLINK("http://imap3images.s3-website-us-east-1.amazonaws.com/1160609/p/inat_photo_146907846.jpg", "View")</f>
        <v>View</v>
      </c>
      <c r="F410" t="s">
        <v>17</v>
      </c>
      <c r="G410" t="s">
        <v>18</v>
      </c>
      <c r="H410">
        <v>324726</v>
      </c>
      <c r="I410" t="str">
        <f t="shared" si="16"/>
        <v>View</v>
      </c>
      <c r="J410" t="s">
        <v>17</v>
      </c>
      <c r="K410" t="s">
        <v>21</v>
      </c>
      <c r="L410">
        <v>324726</v>
      </c>
      <c r="M410">
        <v>89.66</v>
      </c>
      <c r="N410">
        <v>99.87</v>
      </c>
      <c r="P410">
        <v>1</v>
      </c>
    </row>
    <row r="411" spans="1:16" x14ac:dyDescent="0.3">
      <c r="A411">
        <v>409</v>
      </c>
      <c r="B411" t="str">
        <f>HYPERLINK("https://imapinvasives.natureserve.org/imap/services/page/Presence/1165058.html", "View")</f>
        <v>View</v>
      </c>
      <c r="C411">
        <v>1165058</v>
      </c>
      <c r="D411">
        <v>1172317</v>
      </c>
      <c r="E411" t="str">
        <f>HYPERLINK("http://imap3images.s3-website-us-east-1.amazonaws.com/1172317/p/inat_photo_159742429.jpg", "View")</f>
        <v>View</v>
      </c>
      <c r="F411" t="s">
        <v>17</v>
      </c>
      <c r="G411" t="s">
        <v>18</v>
      </c>
      <c r="H411">
        <v>324726</v>
      </c>
      <c r="I411" t="str">
        <f t="shared" si="16"/>
        <v>View</v>
      </c>
      <c r="J411" t="s">
        <v>17</v>
      </c>
      <c r="K411" t="s">
        <v>21</v>
      </c>
      <c r="L411">
        <v>324726</v>
      </c>
      <c r="M411">
        <v>81.28</v>
      </c>
      <c r="N411">
        <v>99.76</v>
      </c>
      <c r="P411">
        <v>1</v>
      </c>
    </row>
    <row r="412" spans="1:16" x14ac:dyDescent="0.3">
      <c r="A412">
        <v>410</v>
      </c>
      <c r="B412" t="str">
        <f>HYPERLINK("https://imapinvasives.natureserve.org/imap/services/page/Presence/1163326.html", "View")</f>
        <v>View</v>
      </c>
      <c r="C412">
        <v>1163326</v>
      </c>
      <c r="D412">
        <v>1170514</v>
      </c>
      <c r="E412" t="str">
        <f>HYPERLINK("http://imap3images.s3-website-us-east-1.amazonaws.com/1170514/p/inat_photo_156708420.jpg", "View")</f>
        <v>View</v>
      </c>
      <c r="F412" t="s">
        <v>17</v>
      </c>
      <c r="G412" t="s">
        <v>18</v>
      </c>
      <c r="H412">
        <v>324726</v>
      </c>
      <c r="I412" t="str">
        <f t="shared" si="16"/>
        <v>View</v>
      </c>
      <c r="J412" t="s">
        <v>17</v>
      </c>
      <c r="K412" t="s">
        <v>21</v>
      </c>
      <c r="L412">
        <v>324726</v>
      </c>
      <c r="M412">
        <v>81.28</v>
      </c>
      <c r="N412">
        <v>99.96</v>
      </c>
      <c r="P412">
        <v>1</v>
      </c>
    </row>
    <row r="413" spans="1:16" x14ac:dyDescent="0.3">
      <c r="A413">
        <v>411</v>
      </c>
      <c r="B413" t="str">
        <f>HYPERLINK("https://imapinvasives.natureserve.org/imap/services/page/Presence/1157680.html", "View")</f>
        <v>View</v>
      </c>
      <c r="C413">
        <v>1157680</v>
      </c>
      <c r="D413">
        <v>1164732</v>
      </c>
      <c r="E413" t="str">
        <f>HYPERLINK("http://imap3images.s3-website-us-east-1.amazonaws.com/1164732/p/inat_photo_149868620.jpg", "View")</f>
        <v>View</v>
      </c>
      <c r="F413" t="s">
        <v>17</v>
      </c>
      <c r="G413" t="s">
        <v>18</v>
      </c>
      <c r="H413">
        <v>324726</v>
      </c>
      <c r="I413" t="str">
        <f t="shared" si="16"/>
        <v>View</v>
      </c>
      <c r="J413" t="s">
        <v>17</v>
      </c>
      <c r="K413" t="s">
        <v>21</v>
      </c>
      <c r="L413">
        <v>324726</v>
      </c>
      <c r="M413">
        <v>81.28</v>
      </c>
      <c r="N413">
        <v>99.86</v>
      </c>
      <c r="P413">
        <v>1</v>
      </c>
    </row>
    <row r="414" spans="1:16" x14ac:dyDescent="0.3">
      <c r="A414">
        <v>412</v>
      </c>
      <c r="B414" t="str">
        <f>HYPERLINK("https://imapinvasives.natureserve.org/imap/services/page/Presence/1355263.html", "View")</f>
        <v>View</v>
      </c>
      <c r="C414">
        <v>1355263</v>
      </c>
      <c r="D414">
        <v>1372895</v>
      </c>
      <c r="E414" t="str">
        <f>HYPERLINK("http://imap3images.s3-website-us-east-1.amazonaws.com/1372895/p/14A1F1F0-BAE9-4B6A-BA51-9638A3F06D34.jpeg", "View")</f>
        <v>View</v>
      </c>
      <c r="F414" t="s">
        <v>17</v>
      </c>
      <c r="G414" t="s">
        <v>18</v>
      </c>
      <c r="H414">
        <v>324726</v>
      </c>
      <c r="I414" t="str">
        <f>HYPERLINK("https://www.inaturalist.org/taxa/57278-Ailanthus-altissima", "View")</f>
        <v>View</v>
      </c>
      <c r="J414" t="s">
        <v>28</v>
      </c>
      <c r="K414" t="s">
        <v>60</v>
      </c>
      <c r="L414">
        <v>57278</v>
      </c>
      <c r="M414">
        <v>82.89</v>
      </c>
      <c r="N414">
        <v>70.709999999999994</v>
      </c>
      <c r="P414">
        <v>0</v>
      </c>
    </row>
    <row r="415" spans="1:16" x14ac:dyDescent="0.3">
      <c r="A415">
        <v>413</v>
      </c>
      <c r="B415" t="str">
        <f>HYPERLINK("https://imapinvasives.natureserve.org/imap/services/page/Presence/1342658.html", "View")</f>
        <v>View</v>
      </c>
      <c r="C415">
        <v>1342658</v>
      </c>
      <c r="D415">
        <v>1358126</v>
      </c>
      <c r="E415" t="str">
        <f>HYPERLINK("http://imap3images.s3-website-us-east-1.amazonaws.com/1358126/p/2023_SLF_nymphs.jpg", "View")</f>
        <v>View</v>
      </c>
      <c r="F415" t="s">
        <v>17</v>
      </c>
      <c r="G415" t="s">
        <v>18</v>
      </c>
      <c r="H415">
        <v>324726</v>
      </c>
      <c r="I415" t="str">
        <f>HYPERLINK("https://www.inaturalist.org/taxa/170331-Wisteria-floribunda", "View")</f>
        <v>View</v>
      </c>
      <c r="J415" t="s">
        <v>75</v>
      </c>
      <c r="K415" t="s">
        <v>76</v>
      </c>
      <c r="L415">
        <v>170331</v>
      </c>
      <c r="M415">
        <v>30.02</v>
      </c>
      <c r="N415">
        <v>25.41</v>
      </c>
      <c r="P415">
        <v>0</v>
      </c>
    </row>
    <row r="416" spans="1:16" x14ac:dyDescent="0.3">
      <c r="A416">
        <v>414</v>
      </c>
      <c r="B416" t="str">
        <f>HYPERLINK("https://imapinvasives.natureserve.org/imap/services/page/Presence/1295127.html", "View")</f>
        <v>View</v>
      </c>
      <c r="C416">
        <v>1295127</v>
      </c>
      <c r="D416">
        <v>1305335</v>
      </c>
      <c r="E416" t="str">
        <f>HYPERLINK("http://imap3images.s3-website-us-east-1.amazonaws.com/1305335/p/imap_app_photo_1663417968291.jpg", "View")</f>
        <v>View</v>
      </c>
      <c r="F416" t="s">
        <v>17</v>
      </c>
      <c r="G416" t="s">
        <v>18</v>
      </c>
      <c r="H416">
        <v>324726</v>
      </c>
      <c r="I416" t="str">
        <f>HYPERLINK("https://www.inaturalist.org/taxa/324726-Lycorma-delicatula", "View")</f>
        <v>View</v>
      </c>
      <c r="J416" t="s">
        <v>17</v>
      </c>
      <c r="K416" t="s">
        <v>21</v>
      </c>
      <c r="L416">
        <v>324726</v>
      </c>
      <c r="M416">
        <v>81.28</v>
      </c>
      <c r="N416">
        <v>99.24</v>
      </c>
      <c r="P416">
        <v>1</v>
      </c>
    </row>
    <row r="417" spans="1:16" x14ac:dyDescent="0.3">
      <c r="A417">
        <v>415</v>
      </c>
      <c r="B417" t="str">
        <f>HYPERLINK("https://imapinvasives.natureserve.org/imap/services/page/Presence/1160782.html", "View")</f>
        <v>View</v>
      </c>
      <c r="C417">
        <v>1160782</v>
      </c>
      <c r="D417">
        <v>1167921</v>
      </c>
      <c r="E417" t="str">
        <f>HYPERLINK("http://imap3images.s3-website-us-east-1.amazonaws.com/1167921/p/inat_photo_154078662.jpg", "View")</f>
        <v>View</v>
      </c>
      <c r="F417" t="s">
        <v>17</v>
      </c>
      <c r="G417" t="s">
        <v>18</v>
      </c>
      <c r="H417">
        <v>324726</v>
      </c>
      <c r="I417" t="str">
        <f>HYPERLINK("https://www.inaturalist.org/taxa/324726-Lycorma-delicatula", "View")</f>
        <v>View</v>
      </c>
      <c r="J417" t="s">
        <v>17</v>
      </c>
      <c r="K417" t="s">
        <v>21</v>
      </c>
      <c r="L417">
        <v>324726</v>
      </c>
      <c r="M417">
        <v>81.28</v>
      </c>
      <c r="N417">
        <v>99.84</v>
      </c>
      <c r="P417">
        <v>1</v>
      </c>
    </row>
    <row r="418" spans="1:16" x14ac:dyDescent="0.3">
      <c r="A418">
        <v>416</v>
      </c>
      <c r="B418" t="str">
        <f>HYPERLINK("https://imapinvasives.natureserve.org/imap/services/page/Presence/1160760.html", "View")</f>
        <v>View</v>
      </c>
      <c r="C418">
        <v>1160760</v>
      </c>
      <c r="D418">
        <v>1167899</v>
      </c>
      <c r="E418" t="str">
        <f>HYPERLINK("http://imap3images.s3-website-us-east-1.amazonaws.com/1167899/p/inat_photo_153696994.jpg", "View")</f>
        <v>View</v>
      </c>
      <c r="F418" t="s">
        <v>17</v>
      </c>
      <c r="G418" t="s">
        <v>18</v>
      </c>
      <c r="H418">
        <v>324726</v>
      </c>
      <c r="I418" t="str">
        <f>HYPERLINK("https://www.inaturalist.org/taxa/324726-Lycorma-delicatula", "View")</f>
        <v>View</v>
      </c>
      <c r="J418" t="s">
        <v>17</v>
      </c>
      <c r="K418" t="s">
        <v>21</v>
      </c>
      <c r="L418">
        <v>324726</v>
      </c>
      <c r="M418">
        <v>89.66</v>
      </c>
      <c r="N418">
        <v>99.82</v>
      </c>
      <c r="P418">
        <v>1</v>
      </c>
    </row>
    <row r="419" spans="1:16" x14ac:dyDescent="0.3">
      <c r="A419">
        <v>417</v>
      </c>
      <c r="B419" t="str">
        <f>HYPERLINK("https://imapinvasives.natureserve.org/imap/services/page/Presence/1375661.html", "View")</f>
        <v>View</v>
      </c>
      <c r="C419">
        <v>1375661</v>
      </c>
      <c r="D419">
        <v>1393756</v>
      </c>
      <c r="E419" t="str">
        <f>HYPERLINK("http://imap3images.s3-website-us-east-1.amazonaws.com/1393756/p/imap_app_photo_1707510422775.jpg", "View")</f>
        <v>View</v>
      </c>
      <c r="F419" t="s">
        <v>17</v>
      </c>
      <c r="G419" t="s">
        <v>18</v>
      </c>
      <c r="H419">
        <v>324726</v>
      </c>
      <c r="I419" t="str">
        <f>HYPERLINK("https://www.inaturalist.org/taxa/61413-Psyche-casta", "View")</f>
        <v>View</v>
      </c>
      <c r="J419" t="s">
        <v>77</v>
      </c>
      <c r="K419" t="s">
        <v>78</v>
      </c>
      <c r="L419">
        <v>61413</v>
      </c>
      <c r="M419">
        <v>22.39</v>
      </c>
      <c r="N419">
        <v>8.82</v>
      </c>
      <c r="P419">
        <v>0</v>
      </c>
    </row>
    <row r="420" spans="1:16" x14ac:dyDescent="0.3">
      <c r="A420">
        <v>418</v>
      </c>
      <c r="B420" t="str">
        <f>HYPERLINK("https://imapinvasives.natureserve.org/imap/services/page/Presence/1273361.html", "View")</f>
        <v>View</v>
      </c>
      <c r="C420">
        <v>1273361</v>
      </c>
      <c r="D420">
        <v>1282497</v>
      </c>
      <c r="E420" t="str">
        <f>HYPERLINK("http://imap3images.s3-website-us-east-1.amazonaws.com/1282497/p/inat_photo_201046778.jpg", "View")</f>
        <v>View</v>
      </c>
      <c r="F420" t="s">
        <v>17</v>
      </c>
      <c r="G420" t="s">
        <v>18</v>
      </c>
      <c r="H420">
        <v>324726</v>
      </c>
      <c r="I420" t="str">
        <f t="shared" ref="I420:I451" si="17">HYPERLINK("https://www.inaturalist.org/taxa/324726-Lycorma-delicatula", "View")</f>
        <v>View</v>
      </c>
      <c r="J420" t="s">
        <v>17</v>
      </c>
      <c r="K420" t="s">
        <v>21</v>
      </c>
      <c r="L420">
        <v>324726</v>
      </c>
      <c r="M420">
        <v>89.66</v>
      </c>
      <c r="N420">
        <v>99.94</v>
      </c>
      <c r="P420">
        <v>1</v>
      </c>
    </row>
    <row r="421" spans="1:16" x14ac:dyDescent="0.3">
      <c r="A421">
        <v>419</v>
      </c>
      <c r="B421" t="str">
        <f>HYPERLINK("https://imapinvasives.natureserve.org/imap/services/page/Presence/1341051.html", "View")</f>
        <v>View</v>
      </c>
      <c r="C421">
        <v>1341051</v>
      </c>
      <c r="D421">
        <v>1356270</v>
      </c>
      <c r="E421" t="str">
        <f>HYPERLINK("http://imap3images.s3-website-us-east-1.amazonaws.com/1356270/p/inat_photo_299052851.jpg", "View")</f>
        <v>View</v>
      </c>
      <c r="F421" t="s">
        <v>17</v>
      </c>
      <c r="G421" t="s">
        <v>18</v>
      </c>
      <c r="H421">
        <v>324726</v>
      </c>
      <c r="I421" t="str">
        <f t="shared" si="17"/>
        <v>View</v>
      </c>
      <c r="J421" t="s">
        <v>17</v>
      </c>
      <c r="K421" t="s">
        <v>21</v>
      </c>
      <c r="L421">
        <v>324726</v>
      </c>
      <c r="M421">
        <v>63.27</v>
      </c>
      <c r="N421">
        <v>99.99</v>
      </c>
      <c r="P421">
        <v>1</v>
      </c>
    </row>
    <row r="422" spans="1:16" x14ac:dyDescent="0.3">
      <c r="A422">
        <v>420</v>
      </c>
      <c r="B422" t="str">
        <f>HYPERLINK("https://imapinvasives.natureserve.org/imap/services/page/Presence/1162987.html", "View")</f>
        <v>View</v>
      </c>
      <c r="C422">
        <v>1162987</v>
      </c>
      <c r="D422">
        <v>1170163</v>
      </c>
      <c r="E422" t="str">
        <f>HYPERLINK("http://imap3images.s3-website-us-east-1.amazonaws.com/1170163/p/inat_photo_156073115.jpg", "View")</f>
        <v>View</v>
      </c>
      <c r="F422" t="s">
        <v>17</v>
      </c>
      <c r="G422" t="s">
        <v>18</v>
      </c>
      <c r="H422">
        <v>324726</v>
      </c>
      <c r="I422" t="str">
        <f t="shared" si="17"/>
        <v>View</v>
      </c>
      <c r="J422" t="s">
        <v>17</v>
      </c>
      <c r="K422" t="s">
        <v>21</v>
      </c>
      <c r="L422">
        <v>324726</v>
      </c>
      <c r="M422">
        <v>81.28</v>
      </c>
      <c r="N422">
        <v>76.819999999999993</v>
      </c>
      <c r="P422">
        <v>1</v>
      </c>
    </row>
    <row r="423" spans="1:16" x14ac:dyDescent="0.3">
      <c r="A423">
        <v>421</v>
      </c>
      <c r="B423" t="str">
        <f>HYPERLINK("https://imapinvasives.natureserve.org/imap/services/page/Presence/1164480.html", "View")</f>
        <v>View</v>
      </c>
      <c r="C423">
        <v>1164480</v>
      </c>
      <c r="D423">
        <v>1171711</v>
      </c>
      <c r="E423" t="str">
        <f>HYPERLINK("http://imap3images.s3-website-us-east-1.amazonaws.com/1171711/p/inat_photo_158927533.jpg", "View")</f>
        <v>View</v>
      </c>
      <c r="F423" t="s">
        <v>17</v>
      </c>
      <c r="G423" t="s">
        <v>18</v>
      </c>
      <c r="H423">
        <v>324726</v>
      </c>
      <c r="I423" t="str">
        <f t="shared" si="17"/>
        <v>View</v>
      </c>
      <c r="J423" t="s">
        <v>17</v>
      </c>
      <c r="K423" t="s">
        <v>21</v>
      </c>
      <c r="L423">
        <v>324726</v>
      </c>
      <c r="M423">
        <v>89.66</v>
      </c>
      <c r="N423">
        <v>99.67</v>
      </c>
      <c r="P423">
        <v>1</v>
      </c>
    </row>
    <row r="424" spans="1:16" x14ac:dyDescent="0.3">
      <c r="A424">
        <v>422</v>
      </c>
      <c r="B424" t="str">
        <f>HYPERLINK("https://imapinvasives.natureserve.org/imap/services/page/Presence/1291883.html", "View")</f>
        <v>View</v>
      </c>
      <c r="C424">
        <v>1291883</v>
      </c>
      <c r="D424">
        <v>1302088</v>
      </c>
      <c r="E424" t="str">
        <f>HYPERLINK("http://imap3images.s3-website-us-east-1.amazonaws.com/1302088/p/imap_app_photo_1663075725323.jpg", "View")</f>
        <v>View</v>
      </c>
      <c r="F424" t="s">
        <v>17</v>
      </c>
      <c r="G424" t="s">
        <v>18</v>
      </c>
      <c r="H424">
        <v>324726</v>
      </c>
      <c r="I424" t="str">
        <f t="shared" si="17"/>
        <v>View</v>
      </c>
      <c r="J424" t="s">
        <v>17</v>
      </c>
      <c r="K424" t="s">
        <v>21</v>
      </c>
      <c r="L424">
        <v>324726</v>
      </c>
      <c r="M424">
        <v>81.28</v>
      </c>
      <c r="N424">
        <v>99.99</v>
      </c>
      <c r="P424">
        <v>1</v>
      </c>
    </row>
    <row r="425" spans="1:16" x14ac:dyDescent="0.3">
      <c r="A425">
        <v>423</v>
      </c>
      <c r="B425" t="str">
        <f>HYPERLINK("https://imapinvasives.natureserve.org/imap/services/page/Presence/1153627.html", "View")</f>
        <v>View</v>
      </c>
      <c r="C425">
        <v>1153627</v>
      </c>
      <c r="D425">
        <v>1160612</v>
      </c>
      <c r="E425" t="str">
        <f>HYPERLINK("http://imap3images.s3-website-us-east-1.amazonaws.com/1160612/p/inat_photo_147012486.jpg", "View")</f>
        <v>View</v>
      </c>
      <c r="F425" t="s">
        <v>17</v>
      </c>
      <c r="G425" t="s">
        <v>18</v>
      </c>
      <c r="H425">
        <v>324726</v>
      </c>
      <c r="I425" t="str">
        <f t="shared" si="17"/>
        <v>View</v>
      </c>
      <c r="J425" t="s">
        <v>17</v>
      </c>
      <c r="K425" t="s">
        <v>21</v>
      </c>
      <c r="L425">
        <v>324726</v>
      </c>
      <c r="M425">
        <v>89.66</v>
      </c>
      <c r="N425">
        <v>99.86</v>
      </c>
      <c r="P425">
        <v>1</v>
      </c>
    </row>
    <row r="426" spans="1:16" x14ac:dyDescent="0.3">
      <c r="A426">
        <v>424</v>
      </c>
      <c r="B426" t="str">
        <f>HYPERLINK("https://imapinvasives.natureserve.org/imap/services/page/Presence/1355164.html", "View")</f>
        <v>View</v>
      </c>
      <c r="C426">
        <v>1355164</v>
      </c>
      <c r="D426">
        <v>1372796</v>
      </c>
      <c r="E426" t="str">
        <f>HYPERLINK("http://imap3images.s3-website-us-east-1.amazonaws.com/1372796/p/IMG_5802.jpeg", "View")</f>
        <v>View</v>
      </c>
      <c r="F426" t="s">
        <v>17</v>
      </c>
      <c r="G426" t="s">
        <v>18</v>
      </c>
      <c r="H426">
        <v>324726</v>
      </c>
      <c r="I426" t="str">
        <f t="shared" si="17"/>
        <v>View</v>
      </c>
      <c r="J426" t="s">
        <v>17</v>
      </c>
      <c r="K426" t="s">
        <v>21</v>
      </c>
      <c r="L426">
        <v>324726</v>
      </c>
      <c r="M426">
        <v>76.7</v>
      </c>
      <c r="N426">
        <v>99.45</v>
      </c>
      <c r="P426">
        <v>1</v>
      </c>
    </row>
    <row r="427" spans="1:16" x14ac:dyDescent="0.3">
      <c r="A427">
        <v>425</v>
      </c>
      <c r="B427" t="str">
        <f>HYPERLINK("https://imapinvasives.natureserve.org/imap/services/page/Presence/1249217.html", "View")</f>
        <v>View</v>
      </c>
      <c r="C427">
        <v>1249217</v>
      </c>
      <c r="D427">
        <v>1257372</v>
      </c>
      <c r="E427" t="str">
        <f>HYPERLINK("http://imap3images.s3-website-us-east-1.amazonaws.com/1257372/p/inat_photo_175415487.jpg", "View")</f>
        <v>View</v>
      </c>
      <c r="F427" t="s">
        <v>17</v>
      </c>
      <c r="G427" t="s">
        <v>18</v>
      </c>
      <c r="H427">
        <v>324726</v>
      </c>
      <c r="I427" t="str">
        <f t="shared" si="17"/>
        <v>View</v>
      </c>
      <c r="J427" t="s">
        <v>17</v>
      </c>
      <c r="K427" t="s">
        <v>21</v>
      </c>
      <c r="L427">
        <v>324726</v>
      </c>
      <c r="M427">
        <v>89.66</v>
      </c>
      <c r="N427">
        <v>98.83</v>
      </c>
      <c r="P427">
        <v>1</v>
      </c>
    </row>
    <row r="428" spans="1:16" x14ac:dyDescent="0.3">
      <c r="A428">
        <v>426</v>
      </c>
      <c r="B428" t="str">
        <f>HYPERLINK("https://imapinvasives.natureserve.org/imap/services/page/Presence/1434892.html", "View")</f>
        <v>View</v>
      </c>
      <c r="C428">
        <v>1434892</v>
      </c>
      <c r="D428">
        <v>1448582</v>
      </c>
      <c r="E428" t="str">
        <f>HYPERLINK("http://imap3images.s3-website-us-east-1.amazonaws.com/1448582/p/1000013511.jpg", "View")</f>
        <v>View</v>
      </c>
      <c r="F428" t="s">
        <v>17</v>
      </c>
      <c r="G428" t="s">
        <v>18</v>
      </c>
      <c r="H428">
        <v>324726</v>
      </c>
      <c r="I428" t="str">
        <f t="shared" si="17"/>
        <v>View</v>
      </c>
      <c r="J428" t="s">
        <v>17</v>
      </c>
      <c r="K428" t="s">
        <v>21</v>
      </c>
      <c r="L428">
        <v>324726</v>
      </c>
      <c r="M428">
        <v>76.7</v>
      </c>
      <c r="N428">
        <v>99.98</v>
      </c>
      <c r="P428">
        <v>1</v>
      </c>
    </row>
    <row r="429" spans="1:16" x14ac:dyDescent="0.3">
      <c r="A429">
        <v>427</v>
      </c>
      <c r="B429" t="str">
        <f>HYPERLINK("https://imapinvasives.natureserve.org/imap/services/page/Presence/1180272.html", "View")</f>
        <v>View</v>
      </c>
      <c r="C429">
        <v>1180272</v>
      </c>
      <c r="D429">
        <v>1188134</v>
      </c>
      <c r="E429" t="str">
        <f>HYPERLINK("http://imap3images.s3-website-us-east-1.amazonaws.com/1188134/p/imap_app_photo_1636601142103.jpg", "View")</f>
        <v>View</v>
      </c>
      <c r="F429" t="s">
        <v>17</v>
      </c>
      <c r="G429" t="s">
        <v>18</v>
      </c>
      <c r="H429">
        <v>324726</v>
      </c>
      <c r="I429" t="str">
        <f t="shared" si="17"/>
        <v>View</v>
      </c>
      <c r="J429" t="s">
        <v>17</v>
      </c>
      <c r="K429" t="s">
        <v>21</v>
      </c>
      <c r="L429">
        <v>324726</v>
      </c>
      <c r="M429">
        <v>61.19</v>
      </c>
      <c r="N429">
        <v>95.48</v>
      </c>
      <c r="P429">
        <v>1</v>
      </c>
    </row>
    <row r="430" spans="1:16" x14ac:dyDescent="0.3">
      <c r="A430">
        <v>428</v>
      </c>
      <c r="B430" t="str">
        <f>HYPERLINK("https://imapinvasives.natureserve.org/imap/services/page/Presence/1160807.html", "View")</f>
        <v>View</v>
      </c>
      <c r="C430">
        <v>1160807</v>
      </c>
      <c r="D430">
        <v>1167946</v>
      </c>
      <c r="E430" t="str">
        <f>HYPERLINK("http://imap3images.s3-website-us-east-1.amazonaws.com/1167946/p/inat_photo_154283710.jpg", "View")</f>
        <v>View</v>
      </c>
      <c r="F430" t="s">
        <v>17</v>
      </c>
      <c r="G430" t="s">
        <v>18</v>
      </c>
      <c r="H430">
        <v>324726</v>
      </c>
      <c r="I430" t="str">
        <f t="shared" si="17"/>
        <v>View</v>
      </c>
      <c r="J430" t="s">
        <v>17</v>
      </c>
      <c r="K430" t="s">
        <v>21</v>
      </c>
      <c r="L430">
        <v>324726</v>
      </c>
      <c r="M430">
        <v>81.28</v>
      </c>
      <c r="N430">
        <v>99.84</v>
      </c>
      <c r="P430">
        <v>1</v>
      </c>
    </row>
    <row r="431" spans="1:16" x14ac:dyDescent="0.3">
      <c r="A431">
        <v>429</v>
      </c>
      <c r="B431" t="str">
        <f>HYPERLINK("https://imapinvasives.natureserve.org/imap/services/page/Presence/1163633.html", "View")</f>
        <v>View</v>
      </c>
      <c r="C431">
        <v>1163633</v>
      </c>
      <c r="D431">
        <v>1170849</v>
      </c>
      <c r="E431" t="str">
        <f>HYPERLINK("http://imap3images.s3-website-us-east-1.amazonaws.com/1170849/p/inat_photo_157372152.jpg", "View")</f>
        <v>View</v>
      </c>
      <c r="F431" t="s">
        <v>17</v>
      </c>
      <c r="G431" t="s">
        <v>18</v>
      </c>
      <c r="H431">
        <v>324726</v>
      </c>
      <c r="I431" t="str">
        <f t="shared" si="17"/>
        <v>View</v>
      </c>
      <c r="J431" t="s">
        <v>17</v>
      </c>
      <c r="K431" t="s">
        <v>21</v>
      </c>
      <c r="L431">
        <v>324726</v>
      </c>
      <c r="M431">
        <v>89.66</v>
      </c>
      <c r="N431">
        <v>99.75</v>
      </c>
      <c r="P431">
        <v>1</v>
      </c>
    </row>
    <row r="432" spans="1:16" x14ac:dyDescent="0.3">
      <c r="A432">
        <v>430</v>
      </c>
      <c r="B432" t="str">
        <f>HYPERLINK("https://imapinvasives.natureserve.org/imap/services/page/Presence/1343527.html", "View")</f>
        <v>View</v>
      </c>
      <c r="C432">
        <v>1343527</v>
      </c>
      <c r="D432">
        <v>1359116</v>
      </c>
      <c r="E432" t="str">
        <f>HYPERLINK("http://imap3images.s3-website-us-east-1.amazonaws.com/1359116/p/inat_photo_301541145.jpg", "View")</f>
        <v>View</v>
      </c>
      <c r="F432" t="s">
        <v>17</v>
      </c>
      <c r="G432" t="s">
        <v>18</v>
      </c>
      <c r="H432">
        <v>324726</v>
      </c>
      <c r="I432" t="str">
        <f t="shared" si="17"/>
        <v>View</v>
      </c>
      <c r="J432" t="s">
        <v>17</v>
      </c>
      <c r="K432" t="s">
        <v>21</v>
      </c>
      <c r="L432">
        <v>324726</v>
      </c>
      <c r="M432">
        <v>64.569999999999993</v>
      </c>
      <c r="N432">
        <v>99.88</v>
      </c>
      <c r="P432">
        <v>1</v>
      </c>
    </row>
    <row r="433" spans="1:16" x14ac:dyDescent="0.3">
      <c r="A433">
        <v>431</v>
      </c>
      <c r="B433" t="str">
        <f>HYPERLINK("https://imapinvasives.natureserve.org/imap/services/page/Presence/1335244.html", "View")</f>
        <v>View</v>
      </c>
      <c r="C433">
        <v>1335244</v>
      </c>
      <c r="D433">
        <v>1349521</v>
      </c>
      <c r="E433" t="str">
        <f>HYPERLINK("http://imap3images.s3-website-us-east-1.amazonaws.com/1349521/p/inat_photo_286204023.jpg", "View")</f>
        <v>View</v>
      </c>
      <c r="F433" t="s">
        <v>17</v>
      </c>
      <c r="G433" t="s">
        <v>18</v>
      </c>
      <c r="H433">
        <v>324726</v>
      </c>
      <c r="I433" t="str">
        <f t="shared" si="17"/>
        <v>View</v>
      </c>
      <c r="J433" t="s">
        <v>17</v>
      </c>
      <c r="K433" t="s">
        <v>21</v>
      </c>
      <c r="L433">
        <v>324726</v>
      </c>
      <c r="M433">
        <v>81.28</v>
      </c>
      <c r="N433">
        <v>99.66</v>
      </c>
      <c r="P433">
        <v>1</v>
      </c>
    </row>
    <row r="434" spans="1:16" x14ac:dyDescent="0.3">
      <c r="A434">
        <v>432</v>
      </c>
      <c r="B434" t="str">
        <f>HYPERLINK("https://imapinvasives.natureserve.org/imap/services/page/Presence/1160916.html", "View")</f>
        <v>View</v>
      </c>
      <c r="C434">
        <v>1160916</v>
      </c>
      <c r="D434">
        <v>1168055</v>
      </c>
      <c r="E434" t="str">
        <f>HYPERLINK("http://imap3images.s3-website-us-east-1.amazonaws.com/1168055/p/imap_app_photo_1630449043590.jpg", "View")</f>
        <v>View</v>
      </c>
      <c r="F434" t="s">
        <v>17</v>
      </c>
      <c r="G434" t="s">
        <v>18</v>
      </c>
      <c r="H434">
        <v>324726</v>
      </c>
      <c r="I434" t="str">
        <f t="shared" si="17"/>
        <v>View</v>
      </c>
      <c r="J434" t="s">
        <v>17</v>
      </c>
      <c r="K434" t="s">
        <v>21</v>
      </c>
      <c r="L434">
        <v>324726</v>
      </c>
      <c r="M434">
        <v>81.28</v>
      </c>
      <c r="N434">
        <v>99.73</v>
      </c>
      <c r="P434">
        <v>1</v>
      </c>
    </row>
    <row r="435" spans="1:16" x14ac:dyDescent="0.3">
      <c r="A435">
        <v>433</v>
      </c>
      <c r="B435" t="str">
        <f>HYPERLINK("https://imapinvasives.natureserve.org/imap/services/page/Presence/1160224.html", "View")</f>
        <v>View</v>
      </c>
      <c r="C435">
        <v>1160224</v>
      </c>
      <c r="D435">
        <v>1167335</v>
      </c>
      <c r="E435" t="str">
        <f>HYPERLINK("http://imap3images.s3-website-us-east-1.amazonaws.com/1167335/p/Lantern_Flies.jpg", "View")</f>
        <v>View</v>
      </c>
      <c r="F435" t="s">
        <v>17</v>
      </c>
      <c r="G435" t="s">
        <v>18</v>
      </c>
      <c r="H435">
        <v>324726</v>
      </c>
      <c r="I435" t="str">
        <f t="shared" si="17"/>
        <v>View</v>
      </c>
      <c r="J435" t="s">
        <v>17</v>
      </c>
      <c r="K435" t="s">
        <v>21</v>
      </c>
      <c r="L435">
        <v>324726</v>
      </c>
      <c r="M435">
        <v>81.28</v>
      </c>
      <c r="N435">
        <v>99.97</v>
      </c>
      <c r="P435">
        <v>1</v>
      </c>
    </row>
    <row r="436" spans="1:16" x14ac:dyDescent="0.3">
      <c r="A436">
        <v>434</v>
      </c>
      <c r="B436" t="str">
        <f>HYPERLINK("https://imapinvasives.natureserve.org/imap/services/page/Presence/1153992.html", "View")</f>
        <v>View</v>
      </c>
      <c r="C436">
        <v>1153992</v>
      </c>
      <c r="D436">
        <v>1160977</v>
      </c>
      <c r="E436" t="str">
        <f>HYPERLINK("http://imap3images.s3-website-us-east-1.amazonaws.com/1160977/p/imap_app_photo_1628082292247.jpg", "View")</f>
        <v>View</v>
      </c>
      <c r="F436" t="s">
        <v>17</v>
      </c>
      <c r="G436" t="s">
        <v>18</v>
      </c>
      <c r="H436">
        <v>324726</v>
      </c>
      <c r="I436" t="str">
        <f t="shared" si="17"/>
        <v>View</v>
      </c>
      <c r="J436" t="s">
        <v>17</v>
      </c>
      <c r="K436" t="s">
        <v>21</v>
      </c>
      <c r="L436">
        <v>324726</v>
      </c>
      <c r="M436">
        <v>81.28</v>
      </c>
      <c r="N436">
        <v>99.6</v>
      </c>
      <c r="P436">
        <v>1</v>
      </c>
    </row>
    <row r="437" spans="1:16" x14ac:dyDescent="0.3">
      <c r="A437">
        <v>435</v>
      </c>
      <c r="B437" t="str">
        <f>HYPERLINK("https://imapinvasives.natureserve.org/imap/services/page/Presence/1338310.html", "View")</f>
        <v>View</v>
      </c>
      <c r="C437">
        <v>1338310</v>
      </c>
      <c r="D437">
        <v>1353052</v>
      </c>
      <c r="E437" t="str">
        <f>HYPERLINK("http://imap3images.s3-website-us-east-1.amazonaws.com/1353052/p/inat_photo_295148552.jpg", "View")</f>
        <v>View</v>
      </c>
      <c r="F437" t="s">
        <v>17</v>
      </c>
      <c r="G437" t="s">
        <v>18</v>
      </c>
      <c r="H437">
        <v>324726</v>
      </c>
      <c r="I437" t="str">
        <f t="shared" si="17"/>
        <v>View</v>
      </c>
      <c r="J437" t="s">
        <v>17</v>
      </c>
      <c r="K437" t="s">
        <v>21</v>
      </c>
      <c r="L437">
        <v>324726</v>
      </c>
      <c r="M437">
        <v>81.28</v>
      </c>
      <c r="N437">
        <v>95.76</v>
      </c>
      <c r="P437">
        <v>1</v>
      </c>
    </row>
    <row r="438" spans="1:16" x14ac:dyDescent="0.3">
      <c r="A438">
        <v>436</v>
      </c>
      <c r="B438" t="str">
        <f>HYPERLINK("https://imapinvasives.natureserve.org/imap/services/page/Presence/1180105.html", "View")</f>
        <v>View</v>
      </c>
      <c r="C438">
        <v>1180105</v>
      </c>
      <c r="D438">
        <v>1187953</v>
      </c>
      <c r="E438" t="str">
        <f>HYPERLINK("http://imap3images.s3-website-us-east-1.amazonaws.com/1187953/p/inat_photo_166177665.jpg", "View")</f>
        <v>View</v>
      </c>
      <c r="F438" t="s">
        <v>17</v>
      </c>
      <c r="G438" t="s">
        <v>18</v>
      </c>
      <c r="H438">
        <v>324726</v>
      </c>
      <c r="I438" t="str">
        <f t="shared" si="17"/>
        <v>View</v>
      </c>
      <c r="J438" t="s">
        <v>17</v>
      </c>
      <c r="K438" t="s">
        <v>21</v>
      </c>
      <c r="L438">
        <v>324726</v>
      </c>
      <c r="M438">
        <v>89.66</v>
      </c>
      <c r="N438">
        <v>93.76</v>
      </c>
      <c r="P438">
        <v>1</v>
      </c>
    </row>
    <row r="439" spans="1:16" x14ac:dyDescent="0.3">
      <c r="A439">
        <v>437</v>
      </c>
      <c r="B439" t="str">
        <f>HYPERLINK("https://imapinvasives.natureserve.org/imap/services/page/Presence/1299550.html", "View")</f>
        <v>View</v>
      </c>
      <c r="C439">
        <v>1299550</v>
      </c>
      <c r="D439">
        <v>1309893</v>
      </c>
      <c r="E439" t="str">
        <f>HYPERLINK("http://imap3images.s3-website-us-east-1.amazonaws.com/1309893/p/LANTERN_FLY_1.jpg", "View")</f>
        <v>View</v>
      </c>
      <c r="F439" t="s">
        <v>17</v>
      </c>
      <c r="G439" t="s">
        <v>18</v>
      </c>
      <c r="H439">
        <v>324726</v>
      </c>
      <c r="I439" t="str">
        <f t="shared" si="17"/>
        <v>View</v>
      </c>
      <c r="J439" t="s">
        <v>17</v>
      </c>
      <c r="K439" t="s">
        <v>21</v>
      </c>
      <c r="L439">
        <v>324726</v>
      </c>
      <c r="M439">
        <v>81.28</v>
      </c>
      <c r="N439">
        <v>99.89</v>
      </c>
      <c r="P439">
        <v>1</v>
      </c>
    </row>
    <row r="440" spans="1:16" x14ac:dyDescent="0.3">
      <c r="A440">
        <v>438</v>
      </c>
      <c r="B440" t="str">
        <f>HYPERLINK("https://imapinvasives.natureserve.org/imap/services/page/Presence/1337440.html", "View")</f>
        <v>View</v>
      </c>
      <c r="C440">
        <v>1337440</v>
      </c>
      <c r="D440">
        <v>1351972</v>
      </c>
      <c r="E440" t="str">
        <f>HYPERLINK("http://imap3images.s3-website-us-east-1.amazonaws.com/1351972/p/inat_photo_294127261.jpg", "View")</f>
        <v>View</v>
      </c>
      <c r="F440" t="s">
        <v>17</v>
      </c>
      <c r="G440" t="s">
        <v>18</v>
      </c>
      <c r="H440">
        <v>324726</v>
      </c>
      <c r="I440" t="str">
        <f t="shared" si="17"/>
        <v>View</v>
      </c>
      <c r="J440" t="s">
        <v>17</v>
      </c>
      <c r="K440" t="s">
        <v>21</v>
      </c>
      <c r="L440">
        <v>324726</v>
      </c>
      <c r="M440">
        <v>81.28</v>
      </c>
      <c r="N440">
        <v>99.91</v>
      </c>
      <c r="P440">
        <v>1</v>
      </c>
    </row>
    <row r="441" spans="1:16" x14ac:dyDescent="0.3">
      <c r="A441">
        <v>439</v>
      </c>
      <c r="B441" t="str">
        <f>HYPERLINK("https://imapinvasives.natureserve.org/imap/services/page/Presence/1165067.html", "View")</f>
        <v>View</v>
      </c>
      <c r="C441">
        <v>1165067</v>
      </c>
      <c r="D441">
        <v>1172326</v>
      </c>
      <c r="E441" t="str">
        <f>HYPERLINK("http://imap3images.s3-website-us-east-1.amazonaws.com/1172326/p/inat_photo_160001515.jpg", "View")</f>
        <v>View</v>
      </c>
      <c r="F441" t="s">
        <v>17</v>
      </c>
      <c r="G441" t="s">
        <v>18</v>
      </c>
      <c r="H441">
        <v>324726</v>
      </c>
      <c r="I441" t="str">
        <f t="shared" si="17"/>
        <v>View</v>
      </c>
      <c r="J441" t="s">
        <v>17</v>
      </c>
      <c r="K441" t="s">
        <v>21</v>
      </c>
      <c r="L441">
        <v>324726</v>
      </c>
      <c r="M441">
        <v>89.66</v>
      </c>
      <c r="N441">
        <v>99.99</v>
      </c>
      <c r="P441">
        <v>1</v>
      </c>
    </row>
    <row r="442" spans="1:16" x14ac:dyDescent="0.3">
      <c r="A442">
        <v>440</v>
      </c>
      <c r="B442" t="str">
        <f>HYPERLINK("https://imapinvasives.natureserve.org/imap/services/page/Presence/1169278.html", "View")</f>
        <v>View</v>
      </c>
      <c r="C442">
        <v>1169278</v>
      </c>
      <c r="D442">
        <v>1176811</v>
      </c>
      <c r="E442" t="str">
        <f>HYPERLINK("http://imap3images.s3-website-us-east-1.amazonaws.com/1176811/p/inat_photo_162747635.jpg", "View")</f>
        <v>View</v>
      </c>
      <c r="F442" t="s">
        <v>17</v>
      </c>
      <c r="G442" t="s">
        <v>18</v>
      </c>
      <c r="H442">
        <v>324726</v>
      </c>
      <c r="I442" t="str">
        <f t="shared" si="17"/>
        <v>View</v>
      </c>
      <c r="J442" t="s">
        <v>17</v>
      </c>
      <c r="K442" t="s">
        <v>21</v>
      </c>
      <c r="L442">
        <v>324726</v>
      </c>
      <c r="M442">
        <v>89.66</v>
      </c>
      <c r="N442">
        <v>99.96</v>
      </c>
      <c r="P442">
        <v>1</v>
      </c>
    </row>
    <row r="443" spans="1:16" x14ac:dyDescent="0.3">
      <c r="A443">
        <v>441</v>
      </c>
      <c r="B443" t="str">
        <f>HYPERLINK("https://imapinvasives.natureserve.org/imap/services/page/Presence/1163825.html", "View")</f>
        <v>View</v>
      </c>
      <c r="C443">
        <v>1163825</v>
      </c>
      <c r="D443">
        <v>1171047</v>
      </c>
      <c r="E443" t="str">
        <f>HYPERLINK("http://imap3images.s3-website-us-east-1.amazonaws.com/1171047/p/inat_photo_157646396.jpg", "View")</f>
        <v>View</v>
      </c>
      <c r="F443" t="s">
        <v>17</v>
      </c>
      <c r="G443" t="s">
        <v>18</v>
      </c>
      <c r="H443">
        <v>324726</v>
      </c>
      <c r="I443" t="str">
        <f t="shared" si="17"/>
        <v>View</v>
      </c>
      <c r="J443" t="s">
        <v>17</v>
      </c>
      <c r="K443" t="s">
        <v>21</v>
      </c>
      <c r="L443">
        <v>324726</v>
      </c>
      <c r="M443">
        <v>89.66</v>
      </c>
      <c r="N443">
        <v>99.95</v>
      </c>
      <c r="P443">
        <v>1</v>
      </c>
    </row>
    <row r="444" spans="1:16" x14ac:dyDescent="0.3">
      <c r="A444">
        <v>442</v>
      </c>
      <c r="B444" t="str">
        <f>HYPERLINK("https://imapinvasives.natureserve.org/imap/services/page/Presence/1438774.html", "View")</f>
        <v>View</v>
      </c>
      <c r="C444">
        <v>1438774</v>
      </c>
      <c r="D444">
        <v>1453045</v>
      </c>
      <c r="E444" t="str">
        <f>HYPERLINK("http://imap3images.s3-website-us-east-1.amazonaws.com/1453045/p/inat_photo_407370250.jpg", "View")</f>
        <v>View</v>
      </c>
      <c r="F444" t="s">
        <v>17</v>
      </c>
      <c r="G444" t="s">
        <v>18</v>
      </c>
      <c r="H444">
        <v>324726</v>
      </c>
      <c r="I444" t="str">
        <f t="shared" si="17"/>
        <v>View</v>
      </c>
      <c r="J444" t="s">
        <v>17</v>
      </c>
      <c r="K444" t="s">
        <v>21</v>
      </c>
      <c r="L444">
        <v>324726</v>
      </c>
      <c r="M444">
        <v>38.130000000000003</v>
      </c>
      <c r="N444">
        <v>90.74</v>
      </c>
      <c r="P444">
        <v>1</v>
      </c>
    </row>
    <row r="445" spans="1:16" x14ac:dyDescent="0.3">
      <c r="A445">
        <v>443</v>
      </c>
      <c r="B445" t="str">
        <f>HYPERLINK("https://imapinvasives.natureserve.org/imap/services/page/Presence/1273383.html", "View")</f>
        <v>View</v>
      </c>
      <c r="C445">
        <v>1273383</v>
      </c>
      <c r="D445">
        <v>1282519</v>
      </c>
      <c r="E445" t="str">
        <f>HYPERLINK("http://imap3images.s3-website-us-east-1.amazonaws.com/1282519/p/inat_photo_201925831.jpg", "View")</f>
        <v>View</v>
      </c>
      <c r="F445" t="s">
        <v>17</v>
      </c>
      <c r="G445" t="s">
        <v>18</v>
      </c>
      <c r="H445">
        <v>324726</v>
      </c>
      <c r="I445" t="str">
        <f t="shared" si="17"/>
        <v>View</v>
      </c>
      <c r="J445" t="s">
        <v>17</v>
      </c>
      <c r="K445" t="s">
        <v>21</v>
      </c>
      <c r="L445">
        <v>324726</v>
      </c>
      <c r="M445">
        <v>81.28</v>
      </c>
      <c r="N445">
        <v>99.96</v>
      </c>
      <c r="P445">
        <v>1</v>
      </c>
    </row>
    <row r="446" spans="1:16" x14ac:dyDescent="0.3">
      <c r="A446">
        <v>444</v>
      </c>
      <c r="B446" t="str">
        <f>HYPERLINK("https://imapinvasives.natureserve.org/imap/services/page/Presence/1163640.html", "View")</f>
        <v>View</v>
      </c>
      <c r="C446">
        <v>1163640</v>
      </c>
      <c r="D446">
        <v>1170856</v>
      </c>
      <c r="E446" t="str">
        <f>HYPERLINK("http://imap3images.s3-website-us-east-1.amazonaws.com/1170856/p/inat_photo_157416300.jpg", "View")</f>
        <v>View</v>
      </c>
      <c r="F446" t="s">
        <v>17</v>
      </c>
      <c r="G446" t="s">
        <v>18</v>
      </c>
      <c r="H446">
        <v>324726</v>
      </c>
      <c r="I446" t="str">
        <f t="shared" si="17"/>
        <v>View</v>
      </c>
      <c r="J446" t="s">
        <v>17</v>
      </c>
      <c r="K446" t="s">
        <v>21</v>
      </c>
      <c r="L446">
        <v>324726</v>
      </c>
      <c r="M446">
        <v>81.28</v>
      </c>
      <c r="N446">
        <v>99.89</v>
      </c>
      <c r="P446">
        <v>1</v>
      </c>
    </row>
    <row r="447" spans="1:16" x14ac:dyDescent="0.3">
      <c r="A447">
        <v>445</v>
      </c>
      <c r="B447" t="str">
        <f>HYPERLINK("https://imapinvasives.natureserve.org/imap/services/page/Presence/1162065.html", "View")</f>
        <v>View</v>
      </c>
      <c r="C447">
        <v>1162065</v>
      </c>
      <c r="D447">
        <v>1169233</v>
      </c>
      <c r="E447" t="str">
        <f>HYPERLINK("http://imap3images.s3-website-us-east-1.amazonaws.com/1169233/p/inat_photo_155009012.jpg", "View")</f>
        <v>View</v>
      </c>
      <c r="F447" t="s">
        <v>17</v>
      </c>
      <c r="G447" t="s">
        <v>18</v>
      </c>
      <c r="H447">
        <v>324726</v>
      </c>
      <c r="I447" t="str">
        <f t="shared" si="17"/>
        <v>View</v>
      </c>
      <c r="J447" t="s">
        <v>17</v>
      </c>
      <c r="K447" t="s">
        <v>21</v>
      </c>
      <c r="L447">
        <v>324726</v>
      </c>
      <c r="M447">
        <v>81.28</v>
      </c>
      <c r="N447">
        <v>99.91</v>
      </c>
      <c r="P447">
        <v>1</v>
      </c>
    </row>
    <row r="448" spans="1:16" x14ac:dyDescent="0.3">
      <c r="A448">
        <v>446</v>
      </c>
      <c r="B448" t="str">
        <f>HYPERLINK("https://imapinvasives.natureserve.org/imap/services/page/Presence/1349562.html", "View")</f>
        <v>View</v>
      </c>
      <c r="C448">
        <v>1349562</v>
      </c>
      <c r="D448">
        <v>1366507</v>
      </c>
      <c r="E448" t="str">
        <f>HYPERLINK("http://imap3images.s3-website-us-east-1.amazonaws.com/1366507/p/inat_photo_310729990.jpg", "View")</f>
        <v>View</v>
      </c>
      <c r="F448" t="s">
        <v>17</v>
      </c>
      <c r="G448" t="s">
        <v>18</v>
      </c>
      <c r="H448">
        <v>324726</v>
      </c>
      <c r="I448" t="str">
        <f t="shared" si="17"/>
        <v>View</v>
      </c>
      <c r="J448" t="s">
        <v>17</v>
      </c>
      <c r="K448" t="s">
        <v>21</v>
      </c>
      <c r="L448">
        <v>324726</v>
      </c>
      <c r="M448">
        <v>76.7</v>
      </c>
      <c r="N448">
        <v>99.94</v>
      </c>
      <c r="P448">
        <v>1</v>
      </c>
    </row>
    <row r="449" spans="1:16" x14ac:dyDescent="0.3">
      <c r="A449">
        <v>447</v>
      </c>
      <c r="B449" t="str">
        <f>HYPERLINK("https://imapinvasives.natureserve.org/imap/services/page/Presence/1355033.html", "View")</f>
        <v>View</v>
      </c>
      <c r="C449">
        <v>1355033</v>
      </c>
      <c r="D449">
        <v>1372665</v>
      </c>
      <c r="E449" t="str">
        <f>HYPERLINK("http://imap3images.s3-website-us-east-1.amazonaws.com/1372665/p/B9903372-8656-410C-8149-EA582E8A4B31.jpeg", "View")</f>
        <v>View</v>
      </c>
      <c r="F449" t="s">
        <v>17</v>
      </c>
      <c r="G449" t="s">
        <v>18</v>
      </c>
      <c r="H449">
        <v>324726</v>
      </c>
      <c r="I449" t="str">
        <f t="shared" si="17"/>
        <v>View</v>
      </c>
      <c r="J449" t="s">
        <v>17</v>
      </c>
      <c r="K449" t="s">
        <v>21</v>
      </c>
      <c r="L449">
        <v>324726</v>
      </c>
      <c r="M449">
        <v>81.28</v>
      </c>
      <c r="N449">
        <v>99.35</v>
      </c>
      <c r="P449">
        <v>1</v>
      </c>
    </row>
    <row r="450" spans="1:16" x14ac:dyDescent="0.3">
      <c r="A450">
        <v>448</v>
      </c>
      <c r="B450" t="str">
        <f>HYPERLINK("https://imapinvasives.natureserve.org/imap/services/page/Presence/1351114.html", "View")</f>
        <v>View</v>
      </c>
      <c r="C450">
        <v>1351114</v>
      </c>
      <c r="D450">
        <v>1368396</v>
      </c>
      <c r="E450" t="str">
        <f>HYPERLINK("http://imap3images.s3-website-us-east-1.amazonaws.com/1368396/p/inat_photo_315060779.jpg", "View")</f>
        <v>View</v>
      </c>
      <c r="F450" t="s">
        <v>17</v>
      </c>
      <c r="G450" t="s">
        <v>18</v>
      </c>
      <c r="H450">
        <v>324726</v>
      </c>
      <c r="I450" t="str">
        <f t="shared" si="17"/>
        <v>View</v>
      </c>
      <c r="J450" t="s">
        <v>17</v>
      </c>
      <c r="K450" t="s">
        <v>21</v>
      </c>
      <c r="L450">
        <v>324726</v>
      </c>
      <c r="M450">
        <v>76.7</v>
      </c>
      <c r="N450">
        <v>99.29</v>
      </c>
      <c r="P450">
        <v>1</v>
      </c>
    </row>
    <row r="451" spans="1:16" x14ac:dyDescent="0.3">
      <c r="A451">
        <v>449</v>
      </c>
      <c r="B451" t="str">
        <f>HYPERLINK("https://imapinvasives.natureserve.org/imap/services/page/Presence/1337421.html", "View")</f>
        <v>View</v>
      </c>
      <c r="C451">
        <v>1337421</v>
      </c>
      <c r="D451">
        <v>1351953</v>
      </c>
      <c r="E451" t="str">
        <f>HYPERLINK("http://imap3images.s3-website-us-east-1.amazonaws.com/1351953/p/inat_photo_292184354.jpg", "View")</f>
        <v>View</v>
      </c>
      <c r="F451" t="s">
        <v>17</v>
      </c>
      <c r="G451" t="s">
        <v>18</v>
      </c>
      <c r="H451">
        <v>324726</v>
      </c>
      <c r="I451" t="str">
        <f t="shared" si="17"/>
        <v>View</v>
      </c>
      <c r="J451" t="s">
        <v>17</v>
      </c>
      <c r="K451" t="s">
        <v>21</v>
      </c>
      <c r="L451">
        <v>324726</v>
      </c>
      <c r="M451">
        <v>64.569999999999993</v>
      </c>
      <c r="N451">
        <v>94.76</v>
      </c>
      <c r="P451">
        <v>1</v>
      </c>
    </row>
    <row r="452" spans="1:16" x14ac:dyDescent="0.3">
      <c r="A452">
        <v>450</v>
      </c>
      <c r="B452" t="str">
        <f>HYPERLINK("https://imapinvasives.natureserve.org/imap/services/page/Presence/1158035.html", "View")</f>
        <v>View</v>
      </c>
      <c r="C452">
        <v>1158035</v>
      </c>
      <c r="D452">
        <v>1165093</v>
      </c>
      <c r="E452" t="str">
        <f>HYPERLINK("http://imap3images.s3-website-us-east-1.amazonaws.com/1165093/p/inat_photo_150059322.jpg", "View")</f>
        <v>View</v>
      </c>
      <c r="F452" t="s">
        <v>17</v>
      </c>
      <c r="G452" t="s">
        <v>18</v>
      </c>
      <c r="H452">
        <v>324726</v>
      </c>
      <c r="I452" t="str">
        <f t="shared" ref="I452:I486" si="18">HYPERLINK("https://www.inaturalist.org/taxa/324726-Lycorma-delicatula", "View")</f>
        <v>View</v>
      </c>
      <c r="J452" t="s">
        <v>17</v>
      </c>
      <c r="K452" t="s">
        <v>21</v>
      </c>
      <c r="L452">
        <v>324726</v>
      </c>
      <c r="M452">
        <v>81.28</v>
      </c>
      <c r="N452">
        <v>99.92</v>
      </c>
      <c r="P452">
        <v>1</v>
      </c>
    </row>
    <row r="453" spans="1:16" x14ac:dyDescent="0.3">
      <c r="A453">
        <v>451</v>
      </c>
      <c r="B453" t="str">
        <f>HYPERLINK("https://imapinvasives.natureserve.org/imap/services/page/Presence/1349571.html", "View")</f>
        <v>View</v>
      </c>
      <c r="C453">
        <v>1349571</v>
      </c>
      <c r="D453">
        <v>1366516</v>
      </c>
      <c r="E453" t="str">
        <f>HYPERLINK("http://imap3images.s3-website-us-east-1.amazonaws.com/1366516/p/inat_photo_312000857.jpg", "View")</f>
        <v>View</v>
      </c>
      <c r="F453" t="s">
        <v>17</v>
      </c>
      <c r="G453" t="s">
        <v>18</v>
      </c>
      <c r="H453">
        <v>324726</v>
      </c>
      <c r="I453" t="str">
        <f t="shared" si="18"/>
        <v>View</v>
      </c>
      <c r="J453" t="s">
        <v>17</v>
      </c>
      <c r="K453" t="s">
        <v>21</v>
      </c>
      <c r="L453">
        <v>324726</v>
      </c>
      <c r="M453">
        <v>76.7</v>
      </c>
      <c r="N453">
        <v>99.57</v>
      </c>
      <c r="P453">
        <v>1</v>
      </c>
    </row>
    <row r="454" spans="1:16" x14ac:dyDescent="0.3">
      <c r="A454">
        <v>452</v>
      </c>
      <c r="B454" t="str">
        <f>HYPERLINK("https://imapinvasives.natureserve.org/imap/services/page/Presence/1290104.html", "View")</f>
        <v>View</v>
      </c>
      <c r="C454">
        <v>1290104</v>
      </c>
      <c r="D454">
        <v>1300287</v>
      </c>
      <c r="E454" t="str">
        <f>HYPERLINK("http://imap3images.s3-website-us-east-1.amazonaws.com/1300287/p/spotted_lantern_fly_nyc.jpg", "View")</f>
        <v>View</v>
      </c>
      <c r="F454" t="s">
        <v>17</v>
      </c>
      <c r="G454" t="s">
        <v>18</v>
      </c>
      <c r="H454">
        <v>324726</v>
      </c>
      <c r="I454" t="str">
        <f t="shared" si="18"/>
        <v>View</v>
      </c>
      <c r="J454" t="s">
        <v>17</v>
      </c>
      <c r="K454" t="s">
        <v>21</v>
      </c>
      <c r="L454">
        <v>324726</v>
      </c>
      <c r="M454">
        <v>81.28</v>
      </c>
      <c r="N454">
        <v>99.82</v>
      </c>
      <c r="P454">
        <v>1</v>
      </c>
    </row>
    <row r="455" spans="1:16" x14ac:dyDescent="0.3">
      <c r="A455">
        <v>453</v>
      </c>
      <c r="B455" t="str">
        <f>HYPERLINK("https://imapinvasives.natureserve.org/imap/services/page/Presence/1332385.html", "View")</f>
        <v>View</v>
      </c>
      <c r="C455">
        <v>1332385</v>
      </c>
      <c r="D455">
        <v>1346148</v>
      </c>
      <c r="E455" t="str">
        <f>HYPERLINK("http://imap3images.s3-website-us-east-1.amazonaws.com/1346148/p/imap_app_photo_1685470974624.jpg", "View")</f>
        <v>View</v>
      </c>
      <c r="F455" t="s">
        <v>17</v>
      </c>
      <c r="G455" t="s">
        <v>18</v>
      </c>
      <c r="H455">
        <v>324726</v>
      </c>
      <c r="I455" t="str">
        <f t="shared" si="18"/>
        <v>View</v>
      </c>
      <c r="J455" t="s">
        <v>17</v>
      </c>
      <c r="K455" t="s">
        <v>21</v>
      </c>
      <c r="L455">
        <v>324726</v>
      </c>
      <c r="M455">
        <v>12.17</v>
      </c>
      <c r="N455">
        <v>73.41</v>
      </c>
      <c r="P455">
        <v>1</v>
      </c>
    </row>
    <row r="456" spans="1:16" x14ac:dyDescent="0.3">
      <c r="A456">
        <v>454</v>
      </c>
      <c r="B456" t="str">
        <f>HYPERLINK("https://imapinvasives.natureserve.org/imap/services/page/Presence/1355234.html", "View")</f>
        <v>View</v>
      </c>
      <c r="C456">
        <v>1355234</v>
      </c>
      <c r="D456">
        <v>1372866</v>
      </c>
      <c r="E456" t="str">
        <f>HYPERLINK("http://imap3images.s3-website-us-east-1.amazonaws.com/1372866/p/imap_app_photo_1696286840260.jpg", "View")</f>
        <v>View</v>
      </c>
      <c r="F456" t="s">
        <v>17</v>
      </c>
      <c r="G456" t="s">
        <v>18</v>
      </c>
      <c r="H456">
        <v>324726</v>
      </c>
      <c r="I456" t="str">
        <f t="shared" si="18"/>
        <v>View</v>
      </c>
      <c r="J456" t="s">
        <v>17</v>
      </c>
      <c r="K456" t="s">
        <v>21</v>
      </c>
      <c r="L456">
        <v>324726</v>
      </c>
      <c r="M456">
        <v>81.28</v>
      </c>
      <c r="N456">
        <v>98.47</v>
      </c>
      <c r="P456">
        <v>1</v>
      </c>
    </row>
    <row r="457" spans="1:16" x14ac:dyDescent="0.3">
      <c r="A457">
        <v>455</v>
      </c>
      <c r="B457" t="str">
        <f>HYPERLINK("https://imapinvasives.natureserve.org/imap/services/page/Presence/1413867.html", "View")</f>
        <v>View</v>
      </c>
      <c r="C457">
        <v>1413867</v>
      </c>
      <c r="D457">
        <v>1427366</v>
      </c>
      <c r="E457" t="str">
        <f>HYPERLINK("http://imap3images.s3-website-us-east-1.amazonaws.com/1427366/p/imap_app_photo_1719692906951.jpg", "View")</f>
        <v>View</v>
      </c>
      <c r="F457" t="s">
        <v>17</v>
      </c>
      <c r="G457" t="s">
        <v>18</v>
      </c>
      <c r="H457">
        <v>324726</v>
      </c>
      <c r="I457" t="str">
        <f t="shared" si="18"/>
        <v>View</v>
      </c>
      <c r="J457" t="s">
        <v>17</v>
      </c>
      <c r="K457" t="s">
        <v>21</v>
      </c>
      <c r="L457">
        <v>324726</v>
      </c>
      <c r="M457">
        <v>81.28</v>
      </c>
      <c r="N457">
        <v>94.79</v>
      </c>
      <c r="P457">
        <v>1</v>
      </c>
    </row>
    <row r="458" spans="1:16" x14ac:dyDescent="0.3">
      <c r="A458">
        <v>456</v>
      </c>
      <c r="B458" t="str">
        <f>HYPERLINK("https://imapinvasives.natureserve.org/imap/services/page/Presence/1441466.html", "View")</f>
        <v>View</v>
      </c>
      <c r="C458">
        <v>1441466</v>
      </c>
      <c r="D458">
        <v>1455925</v>
      </c>
      <c r="E458" t="str">
        <f>HYPERLINK("http://imap3images.s3-website-us-east-1.amazonaws.com/1455925/p/inat_photo_419400015.jpg", "View")</f>
        <v>View</v>
      </c>
      <c r="F458" t="s">
        <v>17</v>
      </c>
      <c r="G458" t="s">
        <v>18</v>
      </c>
      <c r="H458">
        <v>324726</v>
      </c>
      <c r="I458" t="str">
        <f t="shared" si="18"/>
        <v>View</v>
      </c>
      <c r="J458" t="s">
        <v>17</v>
      </c>
      <c r="K458" t="s">
        <v>21</v>
      </c>
      <c r="L458">
        <v>324726</v>
      </c>
      <c r="M458">
        <v>2.81</v>
      </c>
      <c r="N458">
        <v>99.12</v>
      </c>
      <c r="P458">
        <v>1</v>
      </c>
    </row>
    <row r="459" spans="1:16" x14ac:dyDescent="0.3">
      <c r="A459">
        <v>457</v>
      </c>
      <c r="B459" t="str">
        <f>HYPERLINK("https://imapinvasives.natureserve.org/imap/services/page/Presence/1309190.html", "View")</f>
        <v>View</v>
      </c>
      <c r="C459">
        <v>1309190</v>
      </c>
      <c r="D459">
        <v>1319723</v>
      </c>
      <c r="E459" t="str">
        <f>HYPERLINK("http://imap3images.s3-website-us-east-1.amazonaws.com/1319723/p/inat_photo_245550945.jpg", "View")</f>
        <v>View</v>
      </c>
      <c r="F459" t="s">
        <v>17</v>
      </c>
      <c r="G459" t="s">
        <v>18</v>
      </c>
      <c r="H459">
        <v>324726</v>
      </c>
      <c r="I459" t="str">
        <f t="shared" si="18"/>
        <v>View</v>
      </c>
      <c r="J459" t="s">
        <v>17</v>
      </c>
      <c r="K459" t="s">
        <v>21</v>
      </c>
      <c r="L459">
        <v>324726</v>
      </c>
      <c r="M459">
        <v>64.569999999999993</v>
      </c>
      <c r="N459">
        <v>99.33</v>
      </c>
      <c r="P459">
        <v>1</v>
      </c>
    </row>
    <row r="460" spans="1:16" x14ac:dyDescent="0.3">
      <c r="A460">
        <v>458</v>
      </c>
      <c r="B460" t="str">
        <f>HYPERLINK("https://imapinvasives.natureserve.org/imap/services/page/Presence/1162056.html", "View")</f>
        <v>View</v>
      </c>
      <c r="C460">
        <v>1162056</v>
      </c>
      <c r="D460">
        <v>1169224</v>
      </c>
      <c r="E460" t="str">
        <f>HYPERLINK("http://imap3images.s3-website-us-east-1.amazonaws.com/1169224/p/inat_photo_154948942.jpg", "View")</f>
        <v>View</v>
      </c>
      <c r="F460" t="s">
        <v>17</v>
      </c>
      <c r="G460" t="s">
        <v>18</v>
      </c>
      <c r="H460">
        <v>324726</v>
      </c>
      <c r="I460" t="str">
        <f t="shared" si="18"/>
        <v>View</v>
      </c>
      <c r="J460" t="s">
        <v>17</v>
      </c>
      <c r="K460" t="s">
        <v>21</v>
      </c>
      <c r="L460">
        <v>324726</v>
      </c>
      <c r="M460">
        <v>81.28</v>
      </c>
      <c r="N460">
        <v>99.14</v>
      </c>
      <c r="P460">
        <v>1</v>
      </c>
    </row>
    <row r="461" spans="1:16" x14ac:dyDescent="0.3">
      <c r="A461">
        <v>459</v>
      </c>
      <c r="B461" t="str">
        <f>HYPERLINK("https://imapinvasives.natureserve.org/imap/services/page/Presence/1343557.html", "View")</f>
        <v>View</v>
      </c>
      <c r="C461">
        <v>1343557</v>
      </c>
      <c r="D461">
        <v>1359146</v>
      </c>
      <c r="E461" t="str">
        <f>HYPERLINK("http://imap3images.s3-website-us-east-1.amazonaws.com/1359146/p/inat_photo_303247022.jpg", "View")</f>
        <v>View</v>
      </c>
      <c r="F461" t="s">
        <v>17</v>
      </c>
      <c r="G461" t="s">
        <v>18</v>
      </c>
      <c r="H461">
        <v>324726</v>
      </c>
      <c r="I461" t="str">
        <f t="shared" si="18"/>
        <v>View</v>
      </c>
      <c r="J461" t="s">
        <v>17</v>
      </c>
      <c r="K461" t="s">
        <v>21</v>
      </c>
      <c r="L461">
        <v>324726</v>
      </c>
      <c r="M461">
        <v>81.28</v>
      </c>
      <c r="N461">
        <v>99.62</v>
      </c>
      <c r="P461">
        <v>1</v>
      </c>
    </row>
    <row r="462" spans="1:16" x14ac:dyDescent="0.3">
      <c r="A462">
        <v>460</v>
      </c>
      <c r="B462" t="str">
        <f>HYPERLINK("https://imapinvasives.natureserve.org/imap/services/page/Presence/1273358.html", "View")</f>
        <v>View</v>
      </c>
      <c r="C462">
        <v>1273358</v>
      </c>
      <c r="D462">
        <v>1282494</v>
      </c>
      <c r="E462" t="str">
        <f>HYPERLINK("http://imap3images.s3-website-us-east-1.amazonaws.com/1282494/p/inat_photo_201046347.jpg", "View")</f>
        <v>View</v>
      </c>
      <c r="F462" t="s">
        <v>17</v>
      </c>
      <c r="G462" t="s">
        <v>18</v>
      </c>
      <c r="H462">
        <v>324726</v>
      </c>
      <c r="I462" t="str">
        <f t="shared" si="18"/>
        <v>View</v>
      </c>
      <c r="J462" t="s">
        <v>17</v>
      </c>
      <c r="K462" t="s">
        <v>21</v>
      </c>
      <c r="L462">
        <v>324726</v>
      </c>
      <c r="M462">
        <v>89.66</v>
      </c>
      <c r="N462">
        <v>94.29</v>
      </c>
      <c r="P462">
        <v>1</v>
      </c>
    </row>
    <row r="463" spans="1:16" x14ac:dyDescent="0.3">
      <c r="A463">
        <v>461</v>
      </c>
      <c r="B463" t="str">
        <f>HYPERLINK("https://imapinvasives.natureserve.org/imap/services/page/Presence/1159283.html", "View")</f>
        <v>View</v>
      </c>
      <c r="C463">
        <v>1159283</v>
      </c>
      <c r="D463">
        <v>1166365</v>
      </c>
      <c r="E463" t="str">
        <f>HYPERLINK("http://imap3images.s3-website-us-east-1.amazonaws.com/1166365/p/inat_photo_151623318.jpg", "View")</f>
        <v>View</v>
      </c>
      <c r="F463" t="s">
        <v>17</v>
      </c>
      <c r="G463" t="s">
        <v>18</v>
      </c>
      <c r="H463">
        <v>324726</v>
      </c>
      <c r="I463" t="str">
        <f t="shared" si="18"/>
        <v>View</v>
      </c>
      <c r="J463" t="s">
        <v>17</v>
      </c>
      <c r="K463" t="s">
        <v>21</v>
      </c>
      <c r="L463">
        <v>324726</v>
      </c>
      <c r="M463">
        <v>89.66</v>
      </c>
      <c r="N463">
        <v>99.79</v>
      </c>
      <c r="P463">
        <v>1</v>
      </c>
    </row>
    <row r="464" spans="1:16" x14ac:dyDescent="0.3">
      <c r="A464">
        <v>462</v>
      </c>
      <c r="B464" t="str">
        <f>HYPERLINK("https://imapinvasives.natureserve.org/imap/services/page/Presence/1332940.html", "View")</f>
        <v>View</v>
      </c>
      <c r="C464">
        <v>1332940</v>
      </c>
      <c r="D464">
        <v>1347009</v>
      </c>
      <c r="E464" t="str">
        <f>HYPERLINK("http://imap3images.s3-website-us-east-1.amazonaws.com/1347009/p/inat_photo_285517834.jpg", "View")</f>
        <v>View</v>
      </c>
      <c r="F464" t="s">
        <v>17</v>
      </c>
      <c r="G464" t="s">
        <v>18</v>
      </c>
      <c r="H464">
        <v>324726</v>
      </c>
      <c r="I464" t="str">
        <f t="shared" si="18"/>
        <v>View</v>
      </c>
      <c r="J464" t="s">
        <v>17</v>
      </c>
      <c r="K464" t="s">
        <v>21</v>
      </c>
      <c r="L464">
        <v>324726</v>
      </c>
      <c r="M464">
        <v>64.569999999999993</v>
      </c>
      <c r="N464">
        <v>96.24</v>
      </c>
      <c r="P464">
        <v>1</v>
      </c>
    </row>
    <row r="465" spans="1:16" x14ac:dyDescent="0.3">
      <c r="A465">
        <v>463</v>
      </c>
      <c r="B465" t="str">
        <f>HYPERLINK("https://imapinvasives.natureserve.org/imap/services/page/Presence/1292558.html", "View")</f>
        <v>View</v>
      </c>
      <c r="C465">
        <v>1292558</v>
      </c>
      <c r="D465">
        <v>1302763</v>
      </c>
      <c r="E465" t="str">
        <f>HYPERLINK("http://imap3images.s3-website-us-east-1.amazonaws.com/1302763/p/imap_app_photo_1663249912011.jpg", "View")</f>
        <v>View</v>
      </c>
      <c r="F465" t="s">
        <v>17</v>
      </c>
      <c r="G465" t="s">
        <v>18</v>
      </c>
      <c r="H465">
        <v>324726</v>
      </c>
      <c r="I465" t="str">
        <f t="shared" si="18"/>
        <v>View</v>
      </c>
      <c r="J465" t="s">
        <v>17</v>
      </c>
      <c r="K465" t="s">
        <v>21</v>
      </c>
      <c r="L465">
        <v>324726</v>
      </c>
      <c r="M465">
        <v>81.28</v>
      </c>
      <c r="N465">
        <v>99.99</v>
      </c>
      <c r="P465">
        <v>1</v>
      </c>
    </row>
    <row r="466" spans="1:16" x14ac:dyDescent="0.3">
      <c r="A466">
        <v>464</v>
      </c>
      <c r="B466" t="str">
        <f>HYPERLINK("https://imapinvasives.natureserve.org/imap/services/page/Presence/1165057.html", "View")</f>
        <v>View</v>
      </c>
      <c r="C466">
        <v>1165057</v>
      </c>
      <c r="D466">
        <v>1172316</v>
      </c>
      <c r="E466" t="str">
        <f>HYPERLINK("http://imap3images.s3-website-us-east-1.amazonaws.com/1172316/p/inat_photo_159742134.jpg", "View")</f>
        <v>View</v>
      </c>
      <c r="F466" t="s">
        <v>17</v>
      </c>
      <c r="G466" t="s">
        <v>18</v>
      </c>
      <c r="H466">
        <v>324726</v>
      </c>
      <c r="I466" t="str">
        <f t="shared" si="18"/>
        <v>View</v>
      </c>
      <c r="J466" t="s">
        <v>17</v>
      </c>
      <c r="K466" t="s">
        <v>21</v>
      </c>
      <c r="L466">
        <v>324726</v>
      </c>
      <c r="M466">
        <v>81.28</v>
      </c>
      <c r="N466">
        <v>99.76</v>
      </c>
      <c r="P466">
        <v>1</v>
      </c>
    </row>
    <row r="467" spans="1:16" x14ac:dyDescent="0.3">
      <c r="A467">
        <v>465</v>
      </c>
      <c r="B467" t="str">
        <f>HYPERLINK("https://imapinvasives.natureserve.org/imap/services/page/Presence/1160744.html", "View")</f>
        <v>View</v>
      </c>
      <c r="C467">
        <v>1160744</v>
      </c>
      <c r="D467">
        <v>1167883</v>
      </c>
      <c r="E467" t="str">
        <f>HYPERLINK("http://imap3images.s3-website-us-east-1.amazonaws.com/1167883/p/inat_photo_153402229.jpg", "View")</f>
        <v>View</v>
      </c>
      <c r="F467" t="s">
        <v>17</v>
      </c>
      <c r="G467" t="s">
        <v>18</v>
      </c>
      <c r="H467">
        <v>324726</v>
      </c>
      <c r="I467" t="str">
        <f t="shared" si="18"/>
        <v>View</v>
      </c>
      <c r="J467" t="s">
        <v>17</v>
      </c>
      <c r="K467" t="s">
        <v>21</v>
      </c>
      <c r="L467">
        <v>324726</v>
      </c>
      <c r="M467">
        <v>81.28</v>
      </c>
      <c r="N467">
        <v>99.97</v>
      </c>
      <c r="P467">
        <v>1</v>
      </c>
    </row>
    <row r="468" spans="1:16" x14ac:dyDescent="0.3">
      <c r="A468">
        <v>466</v>
      </c>
      <c r="B468" t="str">
        <f>HYPERLINK("https://imapinvasives.natureserve.org/imap/services/page/Presence/1159274.html", "View")</f>
        <v>View</v>
      </c>
      <c r="C468">
        <v>1159274</v>
      </c>
      <c r="D468">
        <v>1166356</v>
      </c>
      <c r="E468" t="str">
        <f>HYPERLINK("http://imap3images.s3-website-us-east-1.amazonaws.com/1166356/p/inat_photo_151487339.jpg", "View")</f>
        <v>View</v>
      </c>
      <c r="F468" t="s">
        <v>17</v>
      </c>
      <c r="G468" t="s">
        <v>18</v>
      </c>
      <c r="H468">
        <v>324726</v>
      </c>
      <c r="I468" t="str">
        <f t="shared" si="18"/>
        <v>View</v>
      </c>
      <c r="J468" t="s">
        <v>17</v>
      </c>
      <c r="K468" t="s">
        <v>21</v>
      </c>
      <c r="L468">
        <v>324726</v>
      </c>
      <c r="M468">
        <v>89.66</v>
      </c>
      <c r="N468">
        <v>99.57</v>
      </c>
      <c r="P468">
        <v>1</v>
      </c>
    </row>
    <row r="469" spans="1:16" x14ac:dyDescent="0.3">
      <c r="A469">
        <v>467</v>
      </c>
      <c r="B469" t="str">
        <f>HYPERLINK("https://imapinvasives.natureserve.org/imap/services/page/Presence/1167023.html", "View")</f>
        <v>View</v>
      </c>
      <c r="C469">
        <v>1167023</v>
      </c>
      <c r="D469">
        <v>1174351</v>
      </c>
      <c r="E469" t="str">
        <f>HYPERLINK("http://imap3images.s3-website-us-east-1.amazonaws.com/1174351/p/inat_photo_160871170.jpg", "View")</f>
        <v>View</v>
      </c>
      <c r="F469" t="s">
        <v>17</v>
      </c>
      <c r="G469" t="s">
        <v>18</v>
      </c>
      <c r="H469">
        <v>324726</v>
      </c>
      <c r="I469" t="str">
        <f t="shared" si="18"/>
        <v>View</v>
      </c>
      <c r="J469" t="s">
        <v>17</v>
      </c>
      <c r="K469" t="s">
        <v>21</v>
      </c>
      <c r="L469">
        <v>324726</v>
      </c>
      <c r="M469">
        <v>89.66</v>
      </c>
      <c r="N469">
        <v>99.39</v>
      </c>
      <c r="P469">
        <v>1</v>
      </c>
    </row>
    <row r="470" spans="1:16" x14ac:dyDescent="0.3">
      <c r="A470">
        <v>468</v>
      </c>
      <c r="B470" t="str">
        <f>HYPERLINK("https://imapinvasives.natureserve.org/imap/services/page/Presence/1068489.html", "View")</f>
        <v>View</v>
      </c>
      <c r="C470">
        <v>1068489</v>
      </c>
      <c r="D470">
        <v>1073316</v>
      </c>
      <c r="E470" t="str">
        <f>HYPERLINK("http://imap3images.s3-website-us-east-1.amazonaws.com/1073316/p/inat_photo_93591944.jpg", "View")</f>
        <v>View</v>
      </c>
      <c r="F470" t="s">
        <v>17</v>
      </c>
      <c r="G470" t="s">
        <v>18</v>
      </c>
      <c r="H470">
        <v>324726</v>
      </c>
      <c r="I470" t="str">
        <f t="shared" si="18"/>
        <v>View</v>
      </c>
      <c r="J470" t="s">
        <v>17</v>
      </c>
      <c r="K470" t="s">
        <v>21</v>
      </c>
      <c r="L470">
        <v>324726</v>
      </c>
      <c r="M470">
        <v>89.66</v>
      </c>
      <c r="N470">
        <v>97.19</v>
      </c>
      <c r="P470">
        <v>1</v>
      </c>
    </row>
    <row r="471" spans="1:16" x14ac:dyDescent="0.3">
      <c r="A471">
        <v>469</v>
      </c>
      <c r="B471" t="str">
        <f>HYPERLINK("https://imapinvasives.natureserve.org/imap/services/page/Presence/1332677.html", "View")</f>
        <v>View</v>
      </c>
      <c r="C471">
        <v>1332677</v>
      </c>
      <c r="D471">
        <v>1346681</v>
      </c>
      <c r="E471" t="str">
        <f>HYPERLINK("http://imap3images.s3-website-us-east-1.amazonaws.com/1346681/p/imap_app_photo_1685638324440.jpg", "View")</f>
        <v>View</v>
      </c>
      <c r="F471" t="s">
        <v>17</v>
      </c>
      <c r="G471" t="s">
        <v>18</v>
      </c>
      <c r="H471">
        <v>324726</v>
      </c>
      <c r="I471" t="str">
        <f t="shared" si="18"/>
        <v>View</v>
      </c>
      <c r="J471" t="s">
        <v>17</v>
      </c>
      <c r="K471" t="s">
        <v>21</v>
      </c>
      <c r="L471">
        <v>324726</v>
      </c>
      <c r="M471">
        <v>64.569999999999993</v>
      </c>
      <c r="N471">
        <v>99.89</v>
      </c>
      <c r="P471">
        <v>1</v>
      </c>
    </row>
    <row r="472" spans="1:16" x14ac:dyDescent="0.3">
      <c r="A472">
        <v>470</v>
      </c>
      <c r="B472" t="str">
        <f>HYPERLINK("https://imapinvasives.natureserve.org/imap/services/page/Presence/1290155.html", "View")</f>
        <v>View</v>
      </c>
      <c r="C472">
        <v>1290155</v>
      </c>
      <c r="D472">
        <v>1300339</v>
      </c>
      <c r="E472" t="str">
        <f>HYPERLINK("http://imap3images.s3-website-us-east-1.amazonaws.com/1300339/p/inat_photo_225491583.jpg", "View")</f>
        <v>View</v>
      </c>
      <c r="F472" t="s">
        <v>17</v>
      </c>
      <c r="G472" t="s">
        <v>18</v>
      </c>
      <c r="H472">
        <v>324726</v>
      </c>
      <c r="I472" t="str">
        <f t="shared" si="18"/>
        <v>View</v>
      </c>
      <c r="J472" t="s">
        <v>17</v>
      </c>
      <c r="K472" t="s">
        <v>21</v>
      </c>
      <c r="L472">
        <v>324726</v>
      </c>
      <c r="M472">
        <v>63.27</v>
      </c>
      <c r="N472">
        <v>98.22</v>
      </c>
      <c r="P472">
        <v>1</v>
      </c>
    </row>
    <row r="473" spans="1:16" x14ac:dyDescent="0.3">
      <c r="A473">
        <v>471</v>
      </c>
      <c r="B473" t="str">
        <f>HYPERLINK("https://imapinvasives.natureserve.org/imap/services/page/Presence/1167665.html", "View")</f>
        <v>View</v>
      </c>
      <c r="C473">
        <v>1167665</v>
      </c>
      <c r="D473">
        <v>1175125</v>
      </c>
      <c r="E473" t="str">
        <f>HYPERLINK("http://imap3images.s3-website-us-east-1.amazonaws.com/1175125/p/imap_app_photo_1633636094970.jpg", "View")</f>
        <v>View</v>
      </c>
      <c r="F473" t="s">
        <v>17</v>
      </c>
      <c r="G473" t="s">
        <v>18</v>
      </c>
      <c r="H473">
        <v>324726</v>
      </c>
      <c r="I473" t="str">
        <f t="shared" si="18"/>
        <v>View</v>
      </c>
      <c r="J473" t="s">
        <v>17</v>
      </c>
      <c r="K473" t="s">
        <v>21</v>
      </c>
      <c r="L473">
        <v>324726</v>
      </c>
      <c r="M473">
        <v>89.66</v>
      </c>
      <c r="N473">
        <v>99.78</v>
      </c>
      <c r="P473">
        <v>1</v>
      </c>
    </row>
    <row r="474" spans="1:16" x14ac:dyDescent="0.3">
      <c r="A474">
        <v>472</v>
      </c>
      <c r="B474" t="str">
        <f>HYPERLINK("https://imapinvasives.natureserve.org/imap/services/page/Presence/1162097.html", "View")</f>
        <v>View</v>
      </c>
      <c r="C474">
        <v>1162097</v>
      </c>
      <c r="D474">
        <v>1169265</v>
      </c>
      <c r="E474" t="str">
        <f>HYPERLINK("http://imap3images.s3-website-us-east-1.amazonaws.com/1169265/p/inat_photo_155512536.jpg", "View")</f>
        <v>View</v>
      </c>
      <c r="F474" t="s">
        <v>17</v>
      </c>
      <c r="G474" t="s">
        <v>18</v>
      </c>
      <c r="H474">
        <v>324726</v>
      </c>
      <c r="I474" t="str">
        <f t="shared" si="18"/>
        <v>View</v>
      </c>
      <c r="J474" t="s">
        <v>17</v>
      </c>
      <c r="K474" t="s">
        <v>21</v>
      </c>
      <c r="L474">
        <v>324726</v>
      </c>
      <c r="M474">
        <v>89.66</v>
      </c>
      <c r="N474">
        <v>99.8</v>
      </c>
      <c r="P474">
        <v>1</v>
      </c>
    </row>
    <row r="475" spans="1:16" x14ac:dyDescent="0.3">
      <c r="A475">
        <v>473</v>
      </c>
      <c r="B475" t="str">
        <f>HYPERLINK("https://imapinvasives.natureserve.org/imap/services/page/Presence/1416970.html", "View")</f>
        <v>View</v>
      </c>
      <c r="C475">
        <v>1416970</v>
      </c>
      <c r="D475">
        <v>1430617</v>
      </c>
      <c r="E475" t="str">
        <f>HYPERLINK("http://imap3images.s3-website-us-east-1.amazonaws.com/1430617/p/inat_photo_363804159.jpg", "View")</f>
        <v>View</v>
      </c>
      <c r="F475" t="s">
        <v>17</v>
      </c>
      <c r="G475" t="s">
        <v>18</v>
      </c>
      <c r="H475">
        <v>324726</v>
      </c>
      <c r="I475" t="str">
        <f t="shared" si="18"/>
        <v>View</v>
      </c>
      <c r="J475" t="s">
        <v>17</v>
      </c>
      <c r="K475" t="s">
        <v>21</v>
      </c>
      <c r="L475">
        <v>324726</v>
      </c>
      <c r="M475">
        <v>12.17</v>
      </c>
      <c r="N475">
        <v>92.02</v>
      </c>
      <c r="P475">
        <v>1</v>
      </c>
    </row>
    <row r="476" spans="1:16" x14ac:dyDescent="0.3">
      <c r="A476">
        <v>474</v>
      </c>
      <c r="B476" t="str">
        <f>HYPERLINK("https://imapinvasives.natureserve.org/imap/services/page/Presence/1167050.html", "View")</f>
        <v>View</v>
      </c>
      <c r="C476">
        <v>1167050</v>
      </c>
      <c r="D476">
        <v>1174378</v>
      </c>
      <c r="E476" t="str">
        <f>HYPERLINK("http://imap3images.s3-website-us-east-1.amazonaws.com/1174378/p/inat_photo_161299348.jpg", "View")</f>
        <v>View</v>
      </c>
      <c r="F476" t="s">
        <v>17</v>
      </c>
      <c r="G476" t="s">
        <v>18</v>
      </c>
      <c r="H476">
        <v>324726</v>
      </c>
      <c r="I476" t="str">
        <f t="shared" si="18"/>
        <v>View</v>
      </c>
      <c r="J476" t="s">
        <v>17</v>
      </c>
      <c r="K476" t="s">
        <v>21</v>
      </c>
      <c r="L476">
        <v>324726</v>
      </c>
      <c r="M476">
        <v>81.28</v>
      </c>
      <c r="N476">
        <v>99.86</v>
      </c>
      <c r="P476">
        <v>1</v>
      </c>
    </row>
    <row r="477" spans="1:16" x14ac:dyDescent="0.3">
      <c r="A477">
        <v>475</v>
      </c>
      <c r="B477" t="str">
        <f>HYPERLINK("https://imapinvasives.natureserve.org/imap/services/page/Presence/1298624.html", "View")</f>
        <v>View</v>
      </c>
      <c r="C477">
        <v>1298624</v>
      </c>
      <c r="D477">
        <v>1308944</v>
      </c>
      <c r="E477" t="str">
        <f>HYPERLINK("http://imap3images.s3-website-us-east-1.amazonaws.com/1308944/p/inat_photo_235752879.jpg", "View")</f>
        <v>View</v>
      </c>
      <c r="F477" t="s">
        <v>17</v>
      </c>
      <c r="G477" t="s">
        <v>18</v>
      </c>
      <c r="H477">
        <v>324726</v>
      </c>
      <c r="I477" t="str">
        <f t="shared" si="18"/>
        <v>View</v>
      </c>
      <c r="J477" t="s">
        <v>17</v>
      </c>
      <c r="K477" t="s">
        <v>21</v>
      </c>
      <c r="L477">
        <v>324726</v>
      </c>
      <c r="M477">
        <v>61.19</v>
      </c>
      <c r="N477">
        <v>99.79</v>
      </c>
      <c r="P477">
        <v>1</v>
      </c>
    </row>
    <row r="478" spans="1:16" x14ac:dyDescent="0.3">
      <c r="A478">
        <v>476</v>
      </c>
      <c r="B478" t="str">
        <f>HYPERLINK("https://imapinvasives.natureserve.org/imap/services/page/Presence/1285507.html", "View")</f>
        <v>View</v>
      </c>
      <c r="C478">
        <v>1285507</v>
      </c>
      <c r="D478">
        <v>1295143</v>
      </c>
      <c r="E478" t="str">
        <f>HYPERLINK("http://imap3images.s3-website-us-east-1.amazonaws.com/1295143/p/inat_photo_220947942.jpg", "View")</f>
        <v>View</v>
      </c>
      <c r="F478" t="s">
        <v>17</v>
      </c>
      <c r="G478" t="s">
        <v>18</v>
      </c>
      <c r="H478">
        <v>324726</v>
      </c>
      <c r="I478" t="str">
        <f t="shared" si="18"/>
        <v>View</v>
      </c>
      <c r="J478" t="s">
        <v>17</v>
      </c>
      <c r="K478" t="s">
        <v>21</v>
      </c>
      <c r="L478">
        <v>324726</v>
      </c>
      <c r="M478">
        <v>81.28</v>
      </c>
      <c r="N478">
        <v>99.98</v>
      </c>
      <c r="P478">
        <v>1</v>
      </c>
    </row>
    <row r="479" spans="1:16" x14ac:dyDescent="0.3">
      <c r="A479">
        <v>477</v>
      </c>
      <c r="B479" t="str">
        <f>HYPERLINK("https://imapinvasives.natureserve.org/imap/services/page/Presence/1158326.html", "View")</f>
        <v>View</v>
      </c>
      <c r="C479">
        <v>1158326</v>
      </c>
      <c r="D479">
        <v>1165397</v>
      </c>
      <c r="E479" t="str">
        <f>HYPERLINK("http://imap3images.s3-website-us-east-1.amazonaws.com/1165397/p/20210812_145321_HDR.jpg", "View")</f>
        <v>View</v>
      </c>
      <c r="F479" t="s">
        <v>17</v>
      </c>
      <c r="G479" t="s">
        <v>18</v>
      </c>
      <c r="H479">
        <v>324726</v>
      </c>
      <c r="I479" t="str">
        <f t="shared" si="18"/>
        <v>View</v>
      </c>
      <c r="J479" t="s">
        <v>17</v>
      </c>
      <c r="K479" t="s">
        <v>21</v>
      </c>
      <c r="L479">
        <v>324726</v>
      </c>
      <c r="M479">
        <v>64.569999999999993</v>
      </c>
      <c r="N479">
        <v>99.39</v>
      </c>
      <c r="P479">
        <v>1</v>
      </c>
    </row>
    <row r="480" spans="1:16" x14ac:dyDescent="0.3">
      <c r="A480">
        <v>478</v>
      </c>
      <c r="B480" t="str">
        <f>HYPERLINK("https://imapinvasives.natureserve.org/imap/services/page/Presence/1068493.html", "View")</f>
        <v>View</v>
      </c>
      <c r="C480">
        <v>1068493</v>
      </c>
      <c r="D480">
        <v>1073320</v>
      </c>
      <c r="E480" t="str">
        <f>HYPERLINK("http://imap3images.s3-website-us-east-1.amazonaws.com/1073320/p/inat_photo_93948006.jpg", "View")</f>
        <v>View</v>
      </c>
      <c r="F480" t="s">
        <v>17</v>
      </c>
      <c r="G480" t="s">
        <v>18</v>
      </c>
      <c r="H480">
        <v>324726</v>
      </c>
      <c r="I480" t="str">
        <f t="shared" si="18"/>
        <v>View</v>
      </c>
      <c r="J480" t="s">
        <v>17</v>
      </c>
      <c r="K480" t="s">
        <v>21</v>
      </c>
      <c r="L480">
        <v>324726</v>
      </c>
      <c r="M480">
        <v>89.66</v>
      </c>
      <c r="N480">
        <v>92.54</v>
      </c>
      <c r="P480">
        <v>1</v>
      </c>
    </row>
    <row r="481" spans="1:16" x14ac:dyDescent="0.3">
      <c r="A481">
        <v>479</v>
      </c>
      <c r="B481" t="str">
        <f>HYPERLINK("https://imapinvasives.natureserve.org/imap/services/page/Presence/1164102.html", "View")</f>
        <v>View</v>
      </c>
      <c r="C481">
        <v>1164102</v>
      </c>
      <c r="D481">
        <v>1171333</v>
      </c>
      <c r="E481" t="str">
        <f>HYPERLINK("http://imap3images.s3-website-us-east-1.amazonaws.com/1171333/p/inat_photo_158393785.jpg", "View")</f>
        <v>View</v>
      </c>
      <c r="F481" t="s">
        <v>17</v>
      </c>
      <c r="G481" t="s">
        <v>18</v>
      </c>
      <c r="H481">
        <v>324726</v>
      </c>
      <c r="I481" t="str">
        <f t="shared" si="18"/>
        <v>View</v>
      </c>
      <c r="J481" t="s">
        <v>17</v>
      </c>
      <c r="K481" t="s">
        <v>21</v>
      </c>
      <c r="L481">
        <v>324726</v>
      </c>
      <c r="M481">
        <v>89.66</v>
      </c>
      <c r="N481">
        <v>97.55</v>
      </c>
      <c r="P481">
        <v>1</v>
      </c>
    </row>
    <row r="482" spans="1:16" x14ac:dyDescent="0.3">
      <c r="A482">
        <v>480</v>
      </c>
      <c r="B482" t="str">
        <f>HYPERLINK("https://imapinvasives.natureserve.org/imap/services/page/Presence/1161144.html", "View")</f>
        <v>View</v>
      </c>
      <c r="C482">
        <v>1161144</v>
      </c>
      <c r="D482">
        <v>1168285</v>
      </c>
      <c r="E482" t="str">
        <f>HYPERLINK("http://imap3images.s3-website-us-east-1.amazonaws.com/1168285/p/inat_photo_154572266.jpg", "View")</f>
        <v>View</v>
      </c>
      <c r="F482" t="s">
        <v>17</v>
      </c>
      <c r="G482" t="s">
        <v>18</v>
      </c>
      <c r="H482">
        <v>324726</v>
      </c>
      <c r="I482" t="str">
        <f t="shared" si="18"/>
        <v>View</v>
      </c>
      <c r="J482" t="s">
        <v>17</v>
      </c>
      <c r="K482" t="s">
        <v>21</v>
      </c>
      <c r="L482">
        <v>324726</v>
      </c>
      <c r="M482">
        <v>81.28</v>
      </c>
      <c r="N482">
        <v>99.98</v>
      </c>
      <c r="P482">
        <v>1</v>
      </c>
    </row>
    <row r="483" spans="1:16" x14ac:dyDescent="0.3">
      <c r="A483">
        <v>481</v>
      </c>
      <c r="B483" t="str">
        <f>HYPERLINK("https://imapinvasives.natureserve.org/imap/services/page/Presence/1163227.html", "View")</f>
        <v>View</v>
      </c>
      <c r="C483">
        <v>1163227</v>
      </c>
      <c r="D483">
        <v>1170409</v>
      </c>
      <c r="E483" t="str">
        <f>HYPERLINK("http://imap3images.s3-website-us-east-1.amazonaws.com/1170409/p/inat_photo_156389336.jpg", "View")</f>
        <v>View</v>
      </c>
      <c r="F483" t="s">
        <v>17</v>
      </c>
      <c r="G483" t="s">
        <v>18</v>
      </c>
      <c r="H483">
        <v>324726</v>
      </c>
      <c r="I483" t="str">
        <f t="shared" si="18"/>
        <v>View</v>
      </c>
      <c r="J483" t="s">
        <v>17</v>
      </c>
      <c r="K483" t="s">
        <v>21</v>
      </c>
      <c r="L483">
        <v>324726</v>
      </c>
      <c r="M483">
        <v>89.66</v>
      </c>
      <c r="N483">
        <v>98.8</v>
      </c>
      <c r="P483">
        <v>1</v>
      </c>
    </row>
    <row r="484" spans="1:16" x14ac:dyDescent="0.3">
      <c r="A484">
        <v>482</v>
      </c>
      <c r="B484" t="str">
        <f>HYPERLINK("https://imapinvasives.natureserve.org/imap/services/page/Presence/1289190.html", "View")</f>
        <v>View</v>
      </c>
      <c r="C484">
        <v>1289190</v>
      </c>
      <c r="D484">
        <v>1299294</v>
      </c>
      <c r="E484" t="str">
        <f>HYPERLINK("http://imap3images.s3-website-us-east-1.amazonaws.com/1299294/p/imap_app_photo_1661451370243.jpg", "View")</f>
        <v>View</v>
      </c>
      <c r="F484" t="s">
        <v>17</v>
      </c>
      <c r="G484" t="s">
        <v>18</v>
      </c>
      <c r="H484">
        <v>324726</v>
      </c>
      <c r="I484" t="str">
        <f t="shared" si="18"/>
        <v>View</v>
      </c>
      <c r="J484" t="s">
        <v>17</v>
      </c>
      <c r="K484" t="s">
        <v>21</v>
      </c>
      <c r="L484">
        <v>324726</v>
      </c>
      <c r="M484">
        <v>64.569999999999993</v>
      </c>
      <c r="N484">
        <v>99.88</v>
      </c>
      <c r="P484">
        <v>1</v>
      </c>
    </row>
    <row r="485" spans="1:16" x14ac:dyDescent="0.3">
      <c r="A485">
        <v>483</v>
      </c>
      <c r="B485" t="str">
        <f>HYPERLINK("https://imapinvasives.natureserve.org/imap/services/page/Presence/1162089.html", "View")</f>
        <v>View</v>
      </c>
      <c r="C485">
        <v>1162089</v>
      </c>
      <c r="D485">
        <v>1169257</v>
      </c>
      <c r="E485" t="str">
        <f>HYPERLINK("http://imap3images.s3-website-us-east-1.amazonaws.com/1169257/p/inat_photo_155352109.jpg", "View")</f>
        <v>View</v>
      </c>
      <c r="F485" t="s">
        <v>17</v>
      </c>
      <c r="G485" t="s">
        <v>18</v>
      </c>
      <c r="H485">
        <v>324726</v>
      </c>
      <c r="I485" t="str">
        <f t="shared" si="18"/>
        <v>View</v>
      </c>
      <c r="J485" t="s">
        <v>17</v>
      </c>
      <c r="K485" t="s">
        <v>21</v>
      </c>
      <c r="L485">
        <v>324726</v>
      </c>
      <c r="M485">
        <v>81.28</v>
      </c>
      <c r="N485">
        <v>87.78</v>
      </c>
      <c r="P485">
        <v>1</v>
      </c>
    </row>
    <row r="486" spans="1:16" x14ac:dyDescent="0.3">
      <c r="A486">
        <v>484</v>
      </c>
      <c r="B486" t="str">
        <f>HYPERLINK("https://imapinvasives.natureserve.org/imap/services/page/Presence/1153638.html", "View")</f>
        <v>View</v>
      </c>
      <c r="C486">
        <v>1153638</v>
      </c>
      <c r="D486">
        <v>1160623</v>
      </c>
      <c r="E486" t="str">
        <f>HYPERLINK("http://imap3images.s3-website-us-east-1.amazonaws.com/1160623/p/inat_photo_147384938.jpg", "View")</f>
        <v>View</v>
      </c>
      <c r="F486" t="s">
        <v>17</v>
      </c>
      <c r="G486" t="s">
        <v>18</v>
      </c>
      <c r="H486">
        <v>324726</v>
      </c>
      <c r="I486" t="str">
        <f t="shared" si="18"/>
        <v>View</v>
      </c>
      <c r="J486" t="s">
        <v>17</v>
      </c>
      <c r="K486" t="s">
        <v>21</v>
      </c>
      <c r="L486">
        <v>324726</v>
      </c>
      <c r="M486">
        <v>89.66</v>
      </c>
      <c r="N486">
        <v>99.06</v>
      </c>
      <c r="P486">
        <v>1</v>
      </c>
    </row>
    <row r="487" spans="1:16" x14ac:dyDescent="0.3">
      <c r="A487">
        <v>485</v>
      </c>
      <c r="B487" t="str">
        <f>HYPERLINK("https://imapinvasives.natureserve.org/imap/services/page/Presence/1350316.html", "View")</f>
        <v>View</v>
      </c>
      <c r="C487">
        <v>1350316</v>
      </c>
      <c r="D487">
        <v>1367285</v>
      </c>
      <c r="E487" t="str">
        <f>HYPERLINK("http://imap3images.s3-website-us-east-1.amazonaws.com/1367285/p/imap_app_photo_1693085379542.jpg", "View")</f>
        <v>View</v>
      </c>
      <c r="F487" t="s">
        <v>17</v>
      </c>
      <c r="G487" t="s">
        <v>18</v>
      </c>
      <c r="H487">
        <v>324726</v>
      </c>
      <c r="I487" t="str">
        <f>HYPERLINK("https://www.inaturalist.org/taxa/67760-Popillia-japonica", "View")</f>
        <v>View</v>
      </c>
      <c r="J487" t="s">
        <v>32</v>
      </c>
      <c r="K487" t="s">
        <v>33</v>
      </c>
      <c r="L487">
        <v>67760</v>
      </c>
      <c r="M487">
        <v>44.34</v>
      </c>
      <c r="N487">
        <v>38.93</v>
      </c>
      <c r="P487">
        <v>0</v>
      </c>
    </row>
    <row r="488" spans="1:16" x14ac:dyDescent="0.3">
      <c r="A488">
        <v>486</v>
      </c>
      <c r="B488" t="str">
        <f>HYPERLINK("https://imapinvasives.natureserve.org/imap/services/page/Presence/1341046.html", "View")</f>
        <v>View</v>
      </c>
      <c r="C488">
        <v>1341046</v>
      </c>
      <c r="D488">
        <v>1356265</v>
      </c>
      <c r="E488" t="str">
        <f>HYPERLINK("http://imap3images.s3-website-us-east-1.amazonaws.com/1356265/p/inat_photo_297365883.jpg", "View")</f>
        <v>View</v>
      </c>
      <c r="F488" t="s">
        <v>17</v>
      </c>
      <c r="G488" t="s">
        <v>18</v>
      </c>
      <c r="H488">
        <v>324726</v>
      </c>
      <c r="I488" t="str">
        <f t="shared" ref="I488:I493" si="19">HYPERLINK("https://www.inaturalist.org/taxa/324726-Lycorma-delicatula", "View")</f>
        <v>View</v>
      </c>
      <c r="J488" t="s">
        <v>17</v>
      </c>
      <c r="K488" t="s">
        <v>21</v>
      </c>
      <c r="L488">
        <v>324726</v>
      </c>
      <c r="M488">
        <v>64.569999999999993</v>
      </c>
      <c r="N488">
        <v>99.98</v>
      </c>
      <c r="P488">
        <v>1</v>
      </c>
    </row>
    <row r="489" spans="1:16" x14ac:dyDescent="0.3">
      <c r="A489">
        <v>487</v>
      </c>
      <c r="B489" t="str">
        <f>HYPERLINK("https://imapinvasives.natureserve.org/imap/services/page/Presence/1164851.html", "View")</f>
        <v>View</v>
      </c>
      <c r="C489">
        <v>1164851</v>
      </c>
      <c r="D489">
        <v>1172102</v>
      </c>
      <c r="E489" t="str">
        <f>HYPERLINK("http://imap3images.s3-website-us-east-1.amazonaws.com/1172102/p/inat_photo_159382111.jpg", "View")</f>
        <v>View</v>
      </c>
      <c r="F489" t="s">
        <v>17</v>
      </c>
      <c r="G489" t="s">
        <v>18</v>
      </c>
      <c r="H489">
        <v>324726</v>
      </c>
      <c r="I489" t="str">
        <f t="shared" si="19"/>
        <v>View</v>
      </c>
      <c r="J489" t="s">
        <v>17</v>
      </c>
      <c r="K489" t="s">
        <v>21</v>
      </c>
      <c r="L489">
        <v>324726</v>
      </c>
      <c r="M489">
        <v>81.28</v>
      </c>
      <c r="N489">
        <v>99.72</v>
      </c>
      <c r="P489">
        <v>1</v>
      </c>
    </row>
    <row r="490" spans="1:16" x14ac:dyDescent="0.3">
      <c r="A490">
        <v>488</v>
      </c>
      <c r="B490" t="str">
        <f>HYPERLINK("https://imapinvasives.natureserve.org/imap/services/page/Presence/1159086.html", "View")</f>
        <v>View</v>
      </c>
      <c r="C490">
        <v>1159086</v>
      </c>
      <c r="D490">
        <v>1166162</v>
      </c>
      <c r="E490" t="str">
        <f>HYPERLINK("http://imap3images.s3-website-us-east-1.amazonaws.com/1166162/p/inat_photo_151224604.jpg", "View")</f>
        <v>View</v>
      </c>
      <c r="F490" t="s">
        <v>17</v>
      </c>
      <c r="G490" t="s">
        <v>18</v>
      </c>
      <c r="H490">
        <v>324726</v>
      </c>
      <c r="I490" t="str">
        <f t="shared" si="19"/>
        <v>View</v>
      </c>
      <c r="J490" t="s">
        <v>17</v>
      </c>
      <c r="K490" t="s">
        <v>21</v>
      </c>
      <c r="L490">
        <v>324726</v>
      </c>
      <c r="M490">
        <v>89.66</v>
      </c>
      <c r="N490">
        <v>98.5</v>
      </c>
      <c r="P490">
        <v>1</v>
      </c>
    </row>
    <row r="491" spans="1:16" x14ac:dyDescent="0.3">
      <c r="A491">
        <v>489</v>
      </c>
      <c r="B491" t="str">
        <f>HYPERLINK("https://imapinvasives.natureserve.org/imap/services/page/Presence/1339539.html", "View")</f>
        <v>View</v>
      </c>
      <c r="C491">
        <v>1339539</v>
      </c>
      <c r="D491">
        <v>1354446</v>
      </c>
      <c r="E491" t="str">
        <f>HYPERLINK("http://imap3images.s3-website-us-east-1.amazonaws.com/1354446/p/imap_app_photo_1688930941849.jpg", "View")</f>
        <v>View</v>
      </c>
      <c r="F491" t="s">
        <v>17</v>
      </c>
      <c r="G491" t="s">
        <v>18</v>
      </c>
      <c r="H491">
        <v>324726</v>
      </c>
      <c r="I491" t="str">
        <f t="shared" si="19"/>
        <v>View</v>
      </c>
      <c r="J491" t="s">
        <v>17</v>
      </c>
      <c r="K491" t="s">
        <v>21</v>
      </c>
      <c r="L491">
        <v>324726</v>
      </c>
      <c r="M491">
        <v>89.66</v>
      </c>
      <c r="N491">
        <v>99.95</v>
      </c>
      <c r="P491">
        <v>1</v>
      </c>
    </row>
    <row r="492" spans="1:16" x14ac:dyDescent="0.3">
      <c r="A492">
        <v>490</v>
      </c>
      <c r="B492" t="str">
        <f>HYPERLINK("https://imapinvasives.natureserve.org/imap/services/page/Presence/1164111.html", "View")</f>
        <v>View</v>
      </c>
      <c r="C492">
        <v>1164111</v>
      </c>
      <c r="D492">
        <v>1171342</v>
      </c>
      <c r="E492" t="str">
        <f>HYPERLINK("http://imap3images.s3-website-us-east-1.amazonaws.com/1171342/p/inat_photo_158479801.jpg", "View")</f>
        <v>View</v>
      </c>
      <c r="F492" t="s">
        <v>17</v>
      </c>
      <c r="G492" t="s">
        <v>18</v>
      </c>
      <c r="H492">
        <v>324726</v>
      </c>
      <c r="I492" t="str">
        <f t="shared" si="19"/>
        <v>View</v>
      </c>
      <c r="J492" t="s">
        <v>17</v>
      </c>
      <c r="K492" t="s">
        <v>21</v>
      </c>
      <c r="L492">
        <v>324726</v>
      </c>
      <c r="M492">
        <v>89.66</v>
      </c>
      <c r="N492">
        <v>99.95</v>
      </c>
      <c r="P492">
        <v>1</v>
      </c>
    </row>
    <row r="493" spans="1:16" x14ac:dyDescent="0.3">
      <c r="A493">
        <v>491</v>
      </c>
      <c r="B493" t="str">
        <f>HYPERLINK("https://imapinvasives.natureserve.org/imap/services/page/Presence/1355257.html", "View")</f>
        <v>View</v>
      </c>
      <c r="C493">
        <v>1355257</v>
      </c>
      <c r="D493">
        <v>1372889</v>
      </c>
      <c r="E493" t="str">
        <f>HYPERLINK("http://imap3images.s3-website-us-east-1.amazonaws.com/1372889/p/6BA1EA23-BFF7-4AC4-B273-898D5E0A9417.jpeg", "View")</f>
        <v>View</v>
      </c>
      <c r="F493" t="s">
        <v>17</v>
      </c>
      <c r="G493" t="s">
        <v>18</v>
      </c>
      <c r="H493">
        <v>324726</v>
      </c>
      <c r="I493" t="str">
        <f t="shared" si="19"/>
        <v>View</v>
      </c>
      <c r="J493" t="s">
        <v>17</v>
      </c>
      <c r="K493" t="s">
        <v>21</v>
      </c>
      <c r="L493">
        <v>324726</v>
      </c>
      <c r="M493">
        <v>89.66</v>
      </c>
      <c r="N493">
        <v>96.96</v>
      </c>
      <c r="P493">
        <v>1</v>
      </c>
    </row>
    <row r="494" spans="1:16" x14ac:dyDescent="0.3">
      <c r="A494">
        <v>492</v>
      </c>
      <c r="B494" t="str">
        <f>HYPERLINK("https://imapinvasives.natureserve.org/imap/services/page/Presence/1272646.html", "View")</f>
        <v>View</v>
      </c>
      <c r="C494">
        <v>1272646</v>
      </c>
      <c r="D494">
        <v>1281698</v>
      </c>
      <c r="E494" t="str">
        <f>HYPERLINK("http://imap3images.s3-website-us-east-1.amazonaws.com/1281698/p/inat_photo_198670052.jpg", "View")</f>
        <v>View</v>
      </c>
      <c r="F494" t="s">
        <v>17</v>
      </c>
      <c r="G494" t="s">
        <v>18</v>
      </c>
      <c r="H494">
        <v>324726</v>
      </c>
      <c r="I494" t="str">
        <f>HYPERLINK("https://www.inaturalist.org/taxa/335978-Peniophora-cinerea", "View")</f>
        <v>View</v>
      </c>
      <c r="J494" t="s">
        <v>34</v>
      </c>
      <c r="K494" t="s">
        <v>31</v>
      </c>
      <c r="L494">
        <v>335978</v>
      </c>
      <c r="M494">
        <v>5.9</v>
      </c>
      <c r="N494">
        <v>38.07</v>
      </c>
      <c r="P494">
        <v>0</v>
      </c>
    </row>
    <row r="495" spans="1:16" x14ac:dyDescent="0.3">
      <c r="A495">
        <v>493</v>
      </c>
      <c r="B495" t="str">
        <f>HYPERLINK("https://imapinvasives.natureserve.org/imap/services/page/Presence/1284797.html", "View")</f>
        <v>View</v>
      </c>
      <c r="C495">
        <v>1284797</v>
      </c>
      <c r="D495">
        <v>1294377</v>
      </c>
      <c r="E495" t="str">
        <f>HYPERLINK("http://imap3images.s3-website-us-east-1.amazonaws.com/1294377/p/inat_photo_219024397.jpg", "View")</f>
        <v>View</v>
      </c>
      <c r="F495" t="s">
        <v>17</v>
      </c>
      <c r="G495" t="s">
        <v>18</v>
      </c>
      <c r="H495">
        <v>324726</v>
      </c>
      <c r="I495" t="str">
        <f t="shared" ref="I495:I500" si="20">HYPERLINK("https://www.inaturalist.org/taxa/324726-Lycorma-delicatula", "View")</f>
        <v>View</v>
      </c>
      <c r="J495" t="s">
        <v>17</v>
      </c>
      <c r="K495" t="s">
        <v>21</v>
      </c>
      <c r="L495">
        <v>324726</v>
      </c>
      <c r="M495">
        <v>64.569999999999993</v>
      </c>
      <c r="N495">
        <v>99.77</v>
      </c>
      <c r="P495">
        <v>1</v>
      </c>
    </row>
    <row r="496" spans="1:16" x14ac:dyDescent="0.3">
      <c r="A496">
        <v>494</v>
      </c>
      <c r="B496" t="str">
        <f>HYPERLINK("https://imapinvasives.natureserve.org/imap/services/page/Presence/1167043.html", "View")</f>
        <v>View</v>
      </c>
      <c r="C496">
        <v>1167043</v>
      </c>
      <c r="D496">
        <v>1174371</v>
      </c>
      <c r="E496" t="str">
        <f>HYPERLINK("http://imap3images.s3-website-us-east-1.amazonaws.com/1174371/p/inat_photo_161026929.jpg", "View")</f>
        <v>View</v>
      </c>
      <c r="F496" t="s">
        <v>17</v>
      </c>
      <c r="G496" t="s">
        <v>18</v>
      </c>
      <c r="H496">
        <v>324726</v>
      </c>
      <c r="I496" t="str">
        <f t="shared" si="20"/>
        <v>View</v>
      </c>
      <c r="J496" t="s">
        <v>17</v>
      </c>
      <c r="K496" t="s">
        <v>21</v>
      </c>
      <c r="L496">
        <v>324726</v>
      </c>
      <c r="M496">
        <v>63.27</v>
      </c>
      <c r="N496">
        <v>97.01</v>
      </c>
      <c r="P496">
        <v>1</v>
      </c>
    </row>
    <row r="497" spans="1:16" x14ac:dyDescent="0.3">
      <c r="A497">
        <v>495</v>
      </c>
      <c r="B497" t="str">
        <f>HYPERLINK("https://imapinvasives.natureserve.org/imap/services/page/Presence/1349567.html", "View")</f>
        <v>View</v>
      </c>
      <c r="C497">
        <v>1349567</v>
      </c>
      <c r="D497">
        <v>1366512</v>
      </c>
      <c r="E497" t="str">
        <f>HYPERLINK("http://imap3images.s3-website-us-east-1.amazonaws.com/1366512/p/inat_photo_310870806.jpg", "View")</f>
        <v>View</v>
      </c>
      <c r="F497" t="s">
        <v>17</v>
      </c>
      <c r="G497" t="s">
        <v>18</v>
      </c>
      <c r="H497">
        <v>324726</v>
      </c>
      <c r="I497" t="str">
        <f t="shared" si="20"/>
        <v>View</v>
      </c>
      <c r="J497" t="s">
        <v>17</v>
      </c>
      <c r="K497" t="s">
        <v>21</v>
      </c>
      <c r="L497">
        <v>324726</v>
      </c>
      <c r="M497">
        <v>76.7</v>
      </c>
      <c r="N497">
        <v>99.84</v>
      </c>
      <c r="P497">
        <v>1</v>
      </c>
    </row>
    <row r="498" spans="1:16" x14ac:dyDescent="0.3">
      <c r="A498">
        <v>496</v>
      </c>
      <c r="B498" t="str">
        <f>HYPERLINK("https://imapinvasives.natureserve.org/imap/services/page/Presence/1272652.html", "View")</f>
        <v>View</v>
      </c>
      <c r="C498">
        <v>1272652</v>
      </c>
      <c r="D498">
        <v>1281704</v>
      </c>
      <c r="E498" t="str">
        <f>HYPERLINK("http://imap3images.s3-website-us-east-1.amazonaws.com/1281704/p/inat_photo_199452671.jpg", "View")</f>
        <v>View</v>
      </c>
      <c r="F498" t="s">
        <v>17</v>
      </c>
      <c r="G498" t="s">
        <v>18</v>
      </c>
      <c r="H498">
        <v>324726</v>
      </c>
      <c r="I498" t="str">
        <f t="shared" si="20"/>
        <v>View</v>
      </c>
      <c r="J498" t="s">
        <v>17</v>
      </c>
      <c r="K498" t="s">
        <v>21</v>
      </c>
      <c r="L498">
        <v>324726</v>
      </c>
      <c r="M498">
        <v>89.66</v>
      </c>
      <c r="N498">
        <v>99.86</v>
      </c>
      <c r="P498">
        <v>1</v>
      </c>
    </row>
    <row r="499" spans="1:16" x14ac:dyDescent="0.3">
      <c r="A499">
        <v>497</v>
      </c>
      <c r="B499" t="str">
        <f>HYPERLINK("https://imapinvasives.natureserve.org/imap/services/page/Presence/1283528.html", "View")</f>
        <v>View</v>
      </c>
      <c r="C499">
        <v>1283528</v>
      </c>
      <c r="D499">
        <v>1293034</v>
      </c>
      <c r="E499" t="str">
        <f>HYPERLINK("http://imap3images.s3-website-us-east-1.amazonaws.com/1293034/p/inat_photo_215938047.jpg", "View")</f>
        <v>View</v>
      </c>
      <c r="F499" t="s">
        <v>17</v>
      </c>
      <c r="G499" t="s">
        <v>18</v>
      </c>
      <c r="H499">
        <v>324726</v>
      </c>
      <c r="I499" t="str">
        <f t="shared" si="20"/>
        <v>View</v>
      </c>
      <c r="J499" t="s">
        <v>17</v>
      </c>
      <c r="K499" t="s">
        <v>21</v>
      </c>
      <c r="L499">
        <v>324726</v>
      </c>
      <c r="M499">
        <v>81.28</v>
      </c>
      <c r="N499">
        <v>99.91</v>
      </c>
      <c r="P499">
        <v>1</v>
      </c>
    </row>
    <row r="500" spans="1:16" x14ac:dyDescent="0.3">
      <c r="A500">
        <v>498</v>
      </c>
      <c r="B500" t="str">
        <f>HYPERLINK("https://imapinvasives.natureserve.org/imap/services/page/Presence/1160736.html", "View")</f>
        <v>View</v>
      </c>
      <c r="C500">
        <v>1160736</v>
      </c>
      <c r="D500">
        <v>1167875</v>
      </c>
      <c r="E500" t="str">
        <f>HYPERLINK("http://imap3images.s3-website-us-east-1.amazonaws.com/1167875/p/inat_photo_153375745.jpg", "View")</f>
        <v>View</v>
      </c>
      <c r="F500" t="s">
        <v>17</v>
      </c>
      <c r="G500" t="s">
        <v>18</v>
      </c>
      <c r="H500">
        <v>324726</v>
      </c>
      <c r="I500" t="str">
        <f t="shared" si="20"/>
        <v>View</v>
      </c>
      <c r="J500" t="s">
        <v>17</v>
      </c>
      <c r="K500" t="s">
        <v>21</v>
      </c>
      <c r="L500">
        <v>324726</v>
      </c>
      <c r="M500">
        <v>81.28</v>
      </c>
      <c r="N500">
        <v>99.96</v>
      </c>
      <c r="P500">
        <v>1</v>
      </c>
    </row>
    <row r="501" spans="1:16" x14ac:dyDescent="0.3">
      <c r="A501">
        <v>499</v>
      </c>
      <c r="B501" t="str">
        <f>HYPERLINK("https://imapinvasives.natureserve.org/imap/services/page/Presence/1160519.html", "View")</f>
        <v>View</v>
      </c>
      <c r="C501">
        <v>1160519</v>
      </c>
      <c r="D501">
        <v>1167639</v>
      </c>
      <c r="E501" t="str">
        <f>HYPERLINK("http://imap3images.s3-website-us-east-1.amazonaws.com/1167639/p/imap_app_photo_1630285411787.jpg", "View")</f>
        <v>View</v>
      </c>
      <c r="F501" t="s">
        <v>17</v>
      </c>
      <c r="G501" t="s">
        <v>18</v>
      </c>
      <c r="H501">
        <v>324726</v>
      </c>
      <c r="I501" t="str">
        <f>HYPERLINK("https://www.inaturalist.org/taxa/57278-Ailanthus-altissima", "View")</f>
        <v>View</v>
      </c>
      <c r="J501" t="s">
        <v>28</v>
      </c>
      <c r="K501" t="s">
        <v>60</v>
      </c>
      <c r="L501">
        <v>57278</v>
      </c>
      <c r="M501">
        <v>62.54</v>
      </c>
      <c r="N501">
        <v>91.52</v>
      </c>
      <c r="P501">
        <v>0</v>
      </c>
    </row>
    <row r="502" spans="1:16" x14ac:dyDescent="0.3">
      <c r="A502">
        <v>500</v>
      </c>
      <c r="B502" t="str">
        <f>HYPERLINK("https://imapinvasives.natureserve.org/imap/services/page/Presence/1338324.html", "View")</f>
        <v>View</v>
      </c>
      <c r="C502">
        <v>1338324</v>
      </c>
      <c r="D502">
        <v>1353066</v>
      </c>
      <c r="E502" t="str">
        <f>HYPERLINK("http://imap3images.s3-website-us-east-1.amazonaws.com/1353066/p/inat_photo_296348015.jpg", "View")</f>
        <v>View</v>
      </c>
      <c r="F502" t="s">
        <v>17</v>
      </c>
      <c r="G502" t="s">
        <v>18</v>
      </c>
      <c r="H502">
        <v>324726</v>
      </c>
      <c r="I502" t="str">
        <f>HYPERLINK("https://www.inaturalist.org/taxa/324726-Lycorma-delicatula", "View")</f>
        <v>View</v>
      </c>
      <c r="J502" t="s">
        <v>17</v>
      </c>
      <c r="K502" t="s">
        <v>21</v>
      </c>
      <c r="L502">
        <v>324726</v>
      </c>
      <c r="M502">
        <v>64.569999999999993</v>
      </c>
      <c r="N502">
        <v>99.88</v>
      </c>
      <c r="P5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Output_Spotted_lanternfly_500_s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Taposh Mollick</dc:creator>
  <cp:lastModifiedBy>Taposh Mollick</cp:lastModifiedBy>
  <dcterms:created xsi:type="dcterms:W3CDTF">2024-11-21T02:17:12Z</dcterms:created>
  <dcterms:modified xsi:type="dcterms:W3CDTF">2024-11-21T02:17:12Z</dcterms:modified>
</cp:coreProperties>
</file>