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esf0-my.sharepoint.com/personal/tmollick_esf_edu/Documents/Desktop/Writings for MS in Environmental Science at SUNY ESF/Final Unconfirmed/"/>
    </mc:Choice>
  </mc:AlternateContent>
  <xr:revisionPtr revIDLastSave="630" documentId="11_5B35CDEE9603244141C3D1F0505ED87656C83DED" xr6:coauthVersionLast="47" xr6:coauthVersionMax="47" xr10:uidLastSave="{4069E17D-BBAB-4F85-AFC2-2949BBBB303A}"/>
  <bookViews>
    <workbookView xWindow="28680" yWindow="-120" windowWidth="51840" windowHeight="21240" xr2:uid="{00000000-000D-0000-FFFF-FFFF00000000}"/>
  </bookViews>
  <sheets>
    <sheet name="Processed Data" sheetId="1" r:id="rId1"/>
  </sheets>
  <definedNames>
    <definedName name="_xlnm._FilterDatabase" localSheetId="0" hidden="1">'Processed Data'!$A$1:$Y$317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1" i="1" l="1"/>
  <c r="I317" i="1"/>
  <c r="E317" i="1"/>
  <c r="B317" i="1"/>
  <c r="I316" i="1"/>
  <c r="E316" i="1"/>
  <c r="B316" i="1"/>
  <c r="I315" i="1"/>
  <c r="E315" i="1"/>
  <c r="B315" i="1"/>
  <c r="I314" i="1"/>
  <c r="E314" i="1"/>
  <c r="B314" i="1"/>
  <c r="I313" i="1"/>
  <c r="E313" i="1"/>
  <c r="B313" i="1"/>
  <c r="I312" i="1"/>
  <c r="E312" i="1"/>
  <c r="B312" i="1"/>
  <c r="E300" i="1"/>
  <c r="E296" i="1"/>
  <c r="I311" i="1"/>
  <c r="B311" i="1"/>
  <c r="I310" i="1"/>
  <c r="E310" i="1"/>
  <c r="B310" i="1"/>
  <c r="I309" i="1"/>
  <c r="E309" i="1"/>
  <c r="B309" i="1"/>
  <c r="I308" i="1"/>
  <c r="E308" i="1"/>
  <c r="B308" i="1"/>
  <c r="I307" i="1"/>
  <c r="E307" i="1"/>
  <c r="B307" i="1"/>
  <c r="I306" i="1"/>
  <c r="E306" i="1"/>
  <c r="B306" i="1"/>
  <c r="I305" i="1"/>
  <c r="E305" i="1"/>
  <c r="B305" i="1"/>
  <c r="I304" i="1"/>
  <c r="E304" i="1"/>
  <c r="B304" i="1"/>
  <c r="I303" i="1"/>
  <c r="E303" i="1"/>
  <c r="B303" i="1"/>
  <c r="I302" i="1"/>
  <c r="E302" i="1"/>
  <c r="B302" i="1"/>
  <c r="I301" i="1"/>
  <c r="E301" i="1"/>
  <c r="B301" i="1"/>
  <c r="I300" i="1"/>
  <c r="B300" i="1"/>
  <c r="I299" i="1"/>
  <c r="E299" i="1"/>
  <c r="B299" i="1"/>
  <c r="I298" i="1"/>
  <c r="E298" i="1"/>
  <c r="B298" i="1"/>
  <c r="I297" i="1"/>
  <c r="E297" i="1"/>
  <c r="B297" i="1"/>
  <c r="I296" i="1"/>
  <c r="B296" i="1"/>
  <c r="I295" i="1"/>
  <c r="E295" i="1"/>
  <c r="B295" i="1"/>
  <c r="I294" i="1"/>
  <c r="E294" i="1"/>
  <c r="B294" i="1"/>
  <c r="I293" i="1"/>
  <c r="E293" i="1"/>
  <c r="B293" i="1"/>
  <c r="I292" i="1"/>
  <c r="E292" i="1"/>
  <c r="B292" i="1"/>
  <c r="I291" i="1"/>
  <c r="E291" i="1"/>
  <c r="B291" i="1"/>
  <c r="I290" i="1"/>
  <c r="E290" i="1"/>
  <c r="B290" i="1"/>
  <c r="I289" i="1"/>
  <c r="E289" i="1"/>
  <c r="B289" i="1"/>
  <c r="I288" i="1"/>
  <c r="E288" i="1"/>
  <c r="B288" i="1"/>
  <c r="I287" i="1"/>
  <c r="E287" i="1"/>
  <c r="B287" i="1"/>
  <c r="I286" i="1"/>
  <c r="E286" i="1"/>
  <c r="B286" i="1"/>
  <c r="I285" i="1"/>
  <c r="E285" i="1"/>
  <c r="B285" i="1"/>
  <c r="I284" i="1"/>
  <c r="E284" i="1"/>
  <c r="B284" i="1"/>
  <c r="I283" i="1"/>
  <c r="E283" i="1"/>
  <c r="B283" i="1"/>
  <c r="I282" i="1"/>
  <c r="E282" i="1"/>
  <c r="B282" i="1"/>
  <c r="I281" i="1"/>
  <c r="E281" i="1"/>
  <c r="B281" i="1"/>
  <c r="I280" i="1"/>
  <c r="E280" i="1"/>
  <c r="B280" i="1"/>
  <c r="I279" i="1"/>
  <c r="E279" i="1"/>
  <c r="B279" i="1"/>
  <c r="I278" i="1"/>
  <c r="E278" i="1"/>
  <c r="B278" i="1"/>
  <c r="I277" i="1"/>
  <c r="E277" i="1"/>
  <c r="B277" i="1"/>
  <c r="I276" i="1"/>
  <c r="E276" i="1"/>
  <c r="B276" i="1"/>
  <c r="I275" i="1"/>
  <c r="E275" i="1"/>
  <c r="B275" i="1"/>
  <c r="I274" i="1"/>
  <c r="E274" i="1"/>
  <c r="B274" i="1"/>
  <c r="I273" i="1"/>
  <c r="E273" i="1"/>
  <c r="B273" i="1"/>
  <c r="I272" i="1"/>
  <c r="E272" i="1"/>
  <c r="B272" i="1"/>
  <c r="I271" i="1"/>
  <c r="E271" i="1"/>
  <c r="B271" i="1"/>
  <c r="I270" i="1"/>
  <c r="E270" i="1"/>
  <c r="B270" i="1"/>
  <c r="I269" i="1"/>
  <c r="E269" i="1"/>
  <c r="B269" i="1"/>
  <c r="I268" i="1"/>
  <c r="E268" i="1"/>
  <c r="B268" i="1"/>
  <c r="I267" i="1"/>
  <c r="E267" i="1"/>
  <c r="B267" i="1"/>
  <c r="I266" i="1"/>
  <c r="E266" i="1"/>
  <c r="B266" i="1"/>
  <c r="I265" i="1"/>
  <c r="E265" i="1"/>
  <c r="B265" i="1"/>
  <c r="I264" i="1"/>
  <c r="E264" i="1"/>
  <c r="B264" i="1"/>
  <c r="I263" i="1"/>
  <c r="E263" i="1"/>
  <c r="B263" i="1"/>
  <c r="I262" i="1"/>
  <c r="E262" i="1"/>
  <c r="B262" i="1"/>
  <c r="I261" i="1"/>
  <c r="E261" i="1"/>
  <c r="B261" i="1"/>
  <c r="I260" i="1"/>
  <c r="E260" i="1"/>
  <c r="B260" i="1"/>
  <c r="I259" i="1"/>
  <c r="E259" i="1"/>
  <c r="B259" i="1"/>
  <c r="I258" i="1"/>
  <c r="E258" i="1"/>
  <c r="B258" i="1"/>
  <c r="I257" i="1"/>
  <c r="E257" i="1"/>
  <c r="B257" i="1"/>
  <c r="I256" i="1"/>
  <c r="E256" i="1"/>
  <c r="B256" i="1"/>
  <c r="I255" i="1"/>
  <c r="E255" i="1"/>
  <c r="B255" i="1"/>
  <c r="B42" i="1"/>
  <c r="B33" i="1"/>
  <c r="I254" i="1"/>
  <c r="E254" i="1"/>
  <c r="B254" i="1"/>
  <c r="I79" i="1"/>
  <c r="E79" i="1"/>
  <c r="B79" i="1"/>
  <c r="I78" i="1"/>
  <c r="E78" i="1"/>
  <c r="B78" i="1"/>
  <c r="I77" i="1"/>
  <c r="E77" i="1"/>
  <c r="B77" i="1"/>
  <c r="I76" i="1"/>
  <c r="E76" i="1"/>
  <c r="B76" i="1"/>
  <c r="I253" i="1"/>
  <c r="E253" i="1"/>
  <c r="B253" i="1"/>
  <c r="I75" i="1"/>
  <c r="E75" i="1"/>
  <c r="B75" i="1"/>
  <c r="I74" i="1"/>
  <c r="E74" i="1"/>
  <c r="B74" i="1"/>
  <c r="I73" i="1"/>
  <c r="E73" i="1"/>
  <c r="B73" i="1"/>
  <c r="I72" i="1"/>
  <c r="E72" i="1"/>
  <c r="B72" i="1"/>
  <c r="I71" i="1"/>
  <c r="E71" i="1"/>
  <c r="B71" i="1"/>
  <c r="I70" i="1"/>
  <c r="E70" i="1"/>
  <c r="B70" i="1"/>
  <c r="I252" i="1"/>
  <c r="E252" i="1"/>
  <c r="B252" i="1"/>
  <c r="I69" i="1"/>
  <c r="E69" i="1"/>
  <c r="B69" i="1"/>
  <c r="I68" i="1"/>
  <c r="E68" i="1"/>
  <c r="B68" i="1"/>
  <c r="I251" i="1"/>
  <c r="E251" i="1"/>
  <c r="B251" i="1"/>
  <c r="I250" i="1"/>
  <c r="E250" i="1"/>
  <c r="B250" i="1"/>
  <c r="I249" i="1"/>
  <c r="E249" i="1"/>
  <c r="B249" i="1"/>
  <c r="I248" i="1"/>
  <c r="E248" i="1"/>
  <c r="B248" i="1"/>
  <c r="I247" i="1"/>
  <c r="E247" i="1"/>
  <c r="B247" i="1"/>
  <c r="I246" i="1"/>
  <c r="E246" i="1"/>
  <c r="B246" i="1"/>
  <c r="I245" i="1"/>
  <c r="E245" i="1"/>
  <c r="B245" i="1"/>
  <c r="I67" i="1"/>
  <c r="E67" i="1"/>
  <c r="B67" i="1"/>
  <c r="I66" i="1"/>
  <c r="E66" i="1"/>
  <c r="B66" i="1"/>
  <c r="I244" i="1"/>
  <c r="E244" i="1"/>
  <c r="B244" i="1"/>
  <c r="I243" i="1"/>
  <c r="E243" i="1"/>
  <c r="B243" i="1"/>
  <c r="I242" i="1"/>
  <c r="E242" i="1"/>
  <c r="B242" i="1"/>
  <c r="I241" i="1"/>
  <c r="E241" i="1"/>
  <c r="B241" i="1"/>
  <c r="I240" i="1"/>
  <c r="E240" i="1"/>
  <c r="B240" i="1"/>
  <c r="I65" i="1"/>
  <c r="E65" i="1"/>
  <c r="B65" i="1"/>
  <c r="I239" i="1"/>
  <c r="E239" i="1"/>
  <c r="B239" i="1"/>
  <c r="I64" i="1"/>
  <c r="E64" i="1"/>
  <c r="B64" i="1"/>
  <c r="I238" i="1"/>
  <c r="E238" i="1"/>
  <c r="B238" i="1"/>
  <c r="I237" i="1"/>
  <c r="E237" i="1"/>
  <c r="B237" i="1"/>
  <c r="I236" i="1"/>
  <c r="E236" i="1"/>
  <c r="B236" i="1"/>
  <c r="I235" i="1"/>
  <c r="E235" i="1"/>
  <c r="B235" i="1"/>
  <c r="I234" i="1"/>
  <c r="E234" i="1"/>
  <c r="B234" i="1"/>
  <c r="I233" i="1"/>
  <c r="E233" i="1"/>
  <c r="B233" i="1"/>
  <c r="I63" i="1"/>
  <c r="E63" i="1"/>
  <c r="B63" i="1"/>
  <c r="I232" i="1"/>
  <c r="E232" i="1"/>
  <c r="B232" i="1"/>
  <c r="I231" i="1"/>
  <c r="E231" i="1"/>
  <c r="B231" i="1"/>
  <c r="I62" i="1"/>
  <c r="E62" i="1"/>
  <c r="B62" i="1"/>
  <c r="I230" i="1"/>
  <c r="E230" i="1"/>
  <c r="B230" i="1"/>
  <c r="I229" i="1"/>
  <c r="E229" i="1"/>
  <c r="B229" i="1"/>
  <c r="I228" i="1"/>
  <c r="E228" i="1"/>
  <c r="B228" i="1"/>
  <c r="E227" i="1"/>
  <c r="B227" i="1"/>
  <c r="I61" i="1"/>
  <c r="E61" i="1"/>
  <c r="B61" i="1"/>
  <c r="I60" i="1"/>
  <c r="E60" i="1"/>
  <c r="B60" i="1"/>
  <c r="I226" i="1"/>
  <c r="E226" i="1"/>
  <c r="B226" i="1"/>
  <c r="I225" i="1"/>
  <c r="E225" i="1"/>
  <c r="B225" i="1"/>
  <c r="E224" i="1"/>
  <c r="B224" i="1"/>
  <c r="I223" i="1"/>
  <c r="E223" i="1"/>
  <c r="B223" i="1"/>
  <c r="E222" i="1"/>
  <c r="B222" i="1"/>
  <c r="I59" i="1"/>
  <c r="E59" i="1"/>
  <c r="B59" i="1"/>
  <c r="I221" i="1"/>
  <c r="E221" i="1"/>
  <c r="B221" i="1"/>
  <c r="I220" i="1"/>
  <c r="E220" i="1"/>
  <c r="B220" i="1"/>
  <c r="I219" i="1"/>
  <c r="E219" i="1"/>
  <c r="B219" i="1"/>
  <c r="I218" i="1"/>
  <c r="E218" i="1"/>
  <c r="B218" i="1"/>
  <c r="I217" i="1"/>
  <c r="E217" i="1"/>
  <c r="B217" i="1"/>
  <c r="E216" i="1"/>
  <c r="B216" i="1"/>
  <c r="I215" i="1"/>
  <c r="E215" i="1"/>
  <c r="B215" i="1"/>
  <c r="I214" i="1"/>
  <c r="E214" i="1"/>
  <c r="B214" i="1"/>
  <c r="I213" i="1"/>
  <c r="E213" i="1"/>
  <c r="B213" i="1"/>
  <c r="I212" i="1"/>
  <c r="E212" i="1"/>
  <c r="B212" i="1"/>
  <c r="I211" i="1"/>
  <c r="E211" i="1"/>
  <c r="B211" i="1"/>
  <c r="I58" i="1"/>
  <c r="E58" i="1"/>
  <c r="B58" i="1"/>
  <c r="I210" i="1"/>
  <c r="E210" i="1"/>
  <c r="B210" i="1"/>
  <c r="E209" i="1"/>
  <c r="B209" i="1"/>
  <c r="I208" i="1"/>
  <c r="E208" i="1"/>
  <c r="B208" i="1"/>
  <c r="I207" i="1"/>
  <c r="E207" i="1"/>
  <c r="B207" i="1"/>
  <c r="I206" i="1"/>
  <c r="E206" i="1"/>
  <c r="B206" i="1"/>
  <c r="I57" i="1"/>
  <c r="E57" i="1"/>
  <c r="B57" i="1"/>
  <c r="I56" i="1"/>
  <c r="E56" i="1"/>
  <c r="B56" i="1"/>
  <c r="I205" i="1"/>
  <c r="E205" i="1"/>
  <c r="B205" i="1"/>
  <c r="I55" i="1"/>
  <c r="E55" i="1"/>
  <c r="B55" i="1"/>
  <c r="I204" i="1"/>
  <c r="E204" i="1"/>
  <c r="B204" i="1"/>
  <c r="I203" i="1"/>
  <c r="E203" i="1"/>
  <c r="B203" i="1"/>
  <c r="I54" i="1"/>
  <c r="E54" i="1"/>
  <c r="B54" i="1"/>
  <c r="I202" i="1"/>
  <c r="E202" i="1"/>
  <c r="B202" i="1"/>
  <c r="I201" i="1"/>
  <c r="E201" i="1"/>
  <c r="B201" i="1"/>
  <c r="I200" i="1"/>
  <c r="E200" i="1"/>
  <c r="B200" i="1"/>
  <c r="I53" i="1"/>
  <c r="E53" i="1"/>
  <c r="B53" i="1"/>
  <c r="I199" i="1"/>
  <c r="E199" i="1"/>
  <c r="B199" i="1"/>
  <c r="E198" i="1"/>
  <c r="B198" i="1"/>
  <c r="I52" i="1"/>
  <c r="E52" i="1"/>
  <c r="B52" i="1"/>
  <c r="I197" i="1"/>
  <c r="E197" i="1"/>
  <c r="B197" i="1"/>
  <c r="I196" i="1"/>
  <c r="E196" i="1"/>
  <c r="B196" i="1"/>
  <c r="I195" i="1"/>
  <c r="E195" i="1"/>
  <c r="B195" i="1"/>
  <c r="I51" i="1"/>
  <c r="E51" i="1"/>
  <c r="B51" i="1"/>
  <c r="I50" i="1"/>
  <c r="E50" i="1"/>
  <c r="B50" i="1"/>
  <c r="I194" i="1"/>
  <c r="E194" i="1"/>
  <c r="B194" i="1"/>
  <c r="I193" i="1"/>
  <c r="E193" i="1"/>
  <c r="B193" i="1"/>
  <c r="I192" i="1"/>
  <c r="E192" i="1"/>
  <c r="B192" i="1"/>
  <c r="I191" i="1"/>
  <c r="E191" i="1"/>
  <c r="B191" i="1"/>
  <c r="I190" i="1"/>
  <c r="E190" i="1"/>
  <c r="B190" i="1"/>
  <c r="I189" i="1"/>
  <c r="E189" i="1"/>
  <c r="B189" i="1"/>
  <c r="I188" i="1"/>
  <c r="E188" i="1"/>
  <c r="B188" i="1"/>
  <c r="I187" i="1"/>
  <c r="E187" i="1"/>
  <c r="B187" i="1"/>
  <c r="I186" i="1"/>
  <c r="E186" i="1"/>
  <c r="B186" i="1"/>
  <c r="I185" i="1"/>
  <c r="E185" i="1"/>
  <c r="B185" i="1"/>
  <c r="I184" i="1"/>
  <c r="E184" i="1"/>
  <c r="B184" i="1"/>
  <c r="I183" i="1"/>
  <c r="E183" i="1"/>
  <c r="B183" i="1"/>
  <c r="I182" i="1"/>
  <c r="E182" i="1"/>
  <c r="B182" i="1"/>
  <c r="I181" i="1"/>
  <c r="E181" i="1"/>
  <c r="B181" i="1"/>
  <c r="I180" i="1"/>
  <c r="E180" i="1"/>
  <c r="B180" i="1"/>
  <c r="I179" i="1"/>
  <c r="E179" i="1"/>
  <c r="B179" i="1"/>
  <c r="I178" i="1"/>
  <c r="E178" i="1"/>
  <c r="B178" i="1"/>
  <c r="I177" i="1"/>
  <c r="E177" i="1"/>
  <c r="B177" i="1"/>
  <c r="I176" i="1"/>
  <c r="E176" i="1"/>
  <c r="B176" i="1"/>
  <c r="I175" i="1"/>
  <c r="E175" i="1"/>
  <c r="B175" i="1"/>
  <c r="I174" i="1"/>
  <c r="E174" i="1"/>
  <c r="B174" i="1"/>
  <c r="I173" i="1"/>
  <c r="E173" i="1"/>
  <c r="B173" i="1"/>
  <c r="I49" i="1"/>
  <c r="E49" i="1"/>
  <c r="B49" i="1"/>
  <c r="I172" i="1"/>
  <c r="E172" i="1"/>
  <c r="B172" i="1"/>
  <c r="I171" i="1"/>
  <c r="E171" i="1"/>
  <c r="B171" i="1"/>
  <c r="I170" i="1"/>
  <c r="E170" i="1"/>
  <c r="B170" i="1"/>
  <c r="I169" i="1"/>
  <c r="E169" i="1"/>
  <c r="B169" i="1"/>
  <c r="E168" i="1"/>
  <c r="B168" i="1"/>
  <c r="I167" i="1"/>
  <c r="E167" i="1"/>
  <c r="B167" i="1"/>
  <c r="I166" i="1"/>
  <c r="E166" i="1"/>
  <c r="B166" i="1"/>
  <c r="I165" i="1"/>
  <c r="E165" i="1"/>
  <c r="B165" i="1"/>
  <c r="I48" i="1"/>
  <c r="E48" i="1"/>
  <c r="B48" i="1"/>
  <c r="I47" i="1"/>
  <c r="E47" i="1"/>
  <c r="B47" i="1"/>
  <c r="I164" i="1"/>
  <c r="E164" i="1"/>
  <c r="B164" i="1"/>
  <c r="I46" i="1"/>
  <c r="E46" i="1"/>
  <c r="B46" i="1"/>
  <c r="I45" i="1"/>
  <c r="E45" i="1"/>
  <c r="B45" i="1"/>
  <c r="I44" i="1"/>
  <c r="E44" i="1"/>
  <c r="B44" i="1"/>
  <c r="E163" i="1"/>
  <c r="B163" i="1"/>
  <c r="I43" i="1"/>
  <c r="E43" i="1"/>
  <c r="B43" i="1"/>
  <c r="I162" i="1"/>
  <c r="E162" i="1"/>
  <c r="B162" i="1"/>
  <c r="I42" i="1"/>
  <c r="E42" i="1"/>
  <c r="I41" i="1"/>
  <c r="E41" i="1"/>
  <c r="B41" i="1"/>
  <c r="I40" i="1"/>
  <c r="E40" i="1"/>
  <c r="B40" i="1"/>
  <c r="I39" i="1"/>
  <c r="E39" i="1"/>
  <c r="B39" i="1"/>
  <c r="I161" i="1"/>
  <c r="E161" i="1"/>
  <c r="B161" i="1"/>
  <c r="I160" i="1"/>
  <c r="E160" i="1"/>
  <c r="B160" i="1"/>
  <c r="I159" i="1"/>
  <c r="E159" i="1"/>
  <c r="B159" i="1"/>
  <c r="I38" i="1"/>
  <c r="E38" i="1"/>
  <c r="B38" i="1"/>
  <c r="I158" i="1"/>
  <c r="E158" i="1"/>
  <c r="B158" i="1"/>
  <c r="I37" i="1"/>
  <c r="E37" i="1"/>
  <c r="B37" i="1"/>
  <c r="I157" i="1"/>
  <c r="E157" i="1"/>
  <c r="B157" i="1"/>
  <c r="I36" i="1"/>
  <c r="E36" i="1"/>
  <c r="B36" i="1"/>
  <c r="I35" i="1"/>
  <c r="E35" i="1"/>
  <c r="B35" i="1"/>
  <c r="I156" i="1"/>
  <c r="E156" i="1"/>
  <c r="B156" i="1"/>
  <c r="I34" i="1"/>
  <c r="E34" i="1"/>
  <c r="B34" i="1"/>
  <c r="I155" i="1"/>
  <c r="E155" i="1"/>
  <c r="B155" i="1"/>
  <c r="I154" i="1"/>
  <c r="E154" i="1"/>
  <c r="B154" i="1"/>
  <c r="I33" i="1"/>
  <c r="E33" i="1"/>
  <c r="I153" i="1"/>
  <c r="E153" i="1"/>
  <c r="B153" i="1"/>
  <c r="I152" i="1"/>
  <c r="E152" i="1"/>
  <c r="B152" i="1"/>
  <c r="I151" i="1"/>
  <c r="E151" i="1"/>
  <c r="B151" i="1"/>
  <c r="I150" i="1"/>
  <c r="E150" i="1"/>
  <c r="B150" i="1"/>
  <c r="I149" i="1"/>
  <c r="E149" i="1"/>
  <c r="B149" i="1"/>
  <c r="I148" i="1"/>
  <c r="E148" i="1"/>
  <c r="B148" i="1"/>
  <c r="I32" i="1"/>
  <c r="E32" i="1"/>
  <c r="B32" i="1"/>
  <c r="I147" i="1"/>
  <c r="E147" i="1"/>
  <c r="B147" i="1"/>
  <c r="I31" i="1"/>
  <c r="E31" i="1"/>
  <c r="B31" i="1"/>
  <c r="I146" i="1"/>
  <c r="E146" i="1"/>
  <c r="B146" i="1"/>
  <c r="I145" i="1"/>
  <c r="E145" i="1"/>
  <c r="B145" i="1"/>
  <c r="I30" i="1"/>
  <c r="E30" i="1"/>
  <c r="B30" i="1"/>
  <c r="I144" i="1"/>
  <c r="E144" i="1"/>
  <c r="B144" i="1"/>
  <c r="I29" i="1"/>
  <c r="E29" i="1"/>
  <c r="B29" i="1"/>
  <c r="I28" i="1"/>
  <c r="E28" i="1"/>
  <c r="B28" i="1"/>
  <c r="I27" i="1"/>
  <c r="E27" i="1"/>
  <c r="B27" i="1"/>
  <c r="I26" i="1"/>
  <c r="E26" i="1"/>
  <c r="B26" i="1"/>
  <c r="I143" i="1"/>
  <c r="E143" i="1"/>
  <c r="B143" i="1"/>
  <c r="I25" i="1"/>
  <c r="E25" i="1"/>
  <c r="B25" i="1"/>
  <c r="I24" i="1"/>
  <c r="E24" i="1"/>
  <c r="B24" i="1"/>
  <c r="I142" i="1"/>
  <c r="E142" i="1"/>
  <c r="B142" i="1"/>
  <c r="I23" i="1"/>
  <c r="E23" i="1"/>
  <c r="B23" i="1"/>
  <c r="I141" i="1"/>
  <c r="E141" i="1"/>
  <c r="B141" i="1"/>
  <c r="I22" i="1"/>
  <c r="E22" i="1"/>
  <c r="B22" i="1"/>
  <c r="I21" i="1"/>
  <c r="E21" i="1"/>
  <c r="B21" i="1"/>
  <c r="I140" i="1"/>
  <c r="E140" i="1"/>
  <c r="B140" i="1"/>
  <c r="I139" i="1"/>
  <c r="E139" i="1"/>
  <c r="B139" i="1"/>
  <c r="I138" i="1"/>
  <c r="E138" i="1"/>
  <c r="B138" i="1"/>
  <c r="I137" i="1"/>
  <c r="E137" i="1"/>
  <c r="B137" i="1"/>
  <c r="I136" i="1"/>
  <c r="E136" i="1"/>
  <c r="B136" i="1"/>
  <c r="I20" i="1"/>
  <c r="E20" i="1"/>
  <c r="B20" i="1"/>
  <c r="I19" i="1"/>
  <c r="E19" i="1"/>
  <c r="B19" i="1"/>
  <c r="I18" i="1"/>
  <c r="E18" i="1"/>
  <c r="B18" i="1"/>
  <c r="I17" i="1"/>
  <c r="E17" i="1"/>
  <c r="B17" i="1"/>
  <c r="I135" i="1"/>
  <c r="E135" i="1"/>
  <c r="B135" i="1"/>
  <c r="E134" i="1"/>
  <c r="B134" i="1"/>
  <c r="I16" i="1"/>
  <c r="E16" i="1"/>
  <c r="B16" i="1"/>
  <c r="I133" i="1"/>
  <c r="E133" i="1"/>
  <c r="B133" i="1"/>
  <c r="I132" i="1"/>
  <c r="E132" i="1"/>
  <c r="B132" i="1"/>
  <c r="I15" i="1"/>
  <c r="E15" i="1"/>
  <c r="B15" i="1"/>
  <c r="I131" i="1"/>
  <c r="E131" i="1"/>
  <c r="B131" i="1"/>
  <c r="I14" i="1"/>
  <c r="E14" i="1"/>
  <c r="B14" i="1"/>
  <c r="I130" i="1"/>
  <c r="E130" i="1"/>
  <c r="B130" i="1"/>
  <c r="E129" i="1"/>
  <c r="B129" i="1"/>
  <c r="I13" i="1"/>
  <c r="E13" i="1"/>
  <c r="B13" i="1"/>
  <c r="I12" i="1"/>
  <c r="E12" i="1"/>
  <c r="B12" i="1"/>
  <c r="I128" i="1"/>
  <c r="E128" i="1"/>
  <c r="B128" i="1"/>
  <c r="I127" i="1"/>
  <c r="E127" i="1"/>
  <c r="B127" i="1"/>
  <c r="I11" i="1"/>
  <c r="E11" i="1"/>
  <c r="B11" i="1"/>
  <c r="I10" i="1"/>
  <c r="E10" i="1"/>
  <c r="B10" i="1"/>
  <c r="I9" i="1"/>
  <c r="E9" i="1"/>
  <c r="B9" i="1"/>
  <c r="I126" i="1"/>
  <c r="E126" i="1"/>
  <c r="B126" i="1"/>
  <c r="I125" i="1"/>
  <c r="E125" i="1"/>
  <c r="B125" i="1"/>
  <c r="I124" i="1"/>
  <c r="E124" i="1"/>
  <c r="B124" i="1"/>
  <c r="I123" i="1"/>
  <c r="E123" i="1"/>
  <c r="B123" i="1"/>
  <c r="I122" i="1"/>
  <c r="E122" i="1"/>
  <c r="B122" i="1"/>
  <c r="I121" i="1"/>
  <c r="E121" i="1"/>
  <c r="B121" i="1"/>
  <c r="I120" i="1"/>
  <c r="E120" i="1"/>
  <c r="B120" i="1"/>
  <c r="I8" i="1"/>
  <c r="E8" i="1"/>
  <c r="B8" i="1"/>
  <c r="I119" i="1"/>
  <c r="E119" i="1"/>
  <c r="B119" i="1"/>
  <c r="I118" i="1"/>
  <c r="E118" i="1"/>
  <c r="B118" i="1"/>
  <c r="I7" i="1"/>
  <c r="E7" i="1"/>
  <c r="B7" i="1"/>
  <c r="I117" i="1"/>
  <c r="E117" i="1"/>
  <c r="B117" i="1"/>
  <c r="I6" i="1"/>
  <c r="E6" i="1"/>
  <c r="B6" i="1"/>
  <c r="I116" i="1"/>
  <c r="E116" i="1"/>
  <c r="B116" i="1"/>
  <c r="I115" i="1"/>
  <c r="E115" i="1"/>
  <c r="B115" i="1"/>
  <c r="I114" i="1"/>
  <c r="E114" i="1"/>
  <c r="B114" i="1"/>
  <c r="I5" i="1"/>
  <c r="E5" i="1"/>
  <c r="B5" i="1"/>
  <c r="I113" i="1"/>
  <c r="E113" i="1"/>
  <c r="B113" i="1"/>
  <c r="I4" i="1"/>
  <c r="E4" i="1"/>
  <c r="B4" i="1"/>
  <c r="I112" i="1"/>
  <c r="E112" i="1"/>
  <c r="B112" i="1"/>
  <c r="I111" i="1"/>
  <c r="E111" i="1"/>
  <c r="B111" i="1"/>
  <c r="I110" i="1"/>
  <c r="E110" i="1"/>
  <c r="B110" i="1"/>
  <c r="I109" i="1"/>
  <c r="E109" i="1"/>
  <c r="B109" i="1"/>
  <c r="I108" i="1"/>
  <c r="E108" i="1"/>
  <c r="B108" i="1"/>
  <c r="I107" i="1"/>
  <c r="E107" i="1"/>
  <c r="B107" i="1"/>
  <c r="I106" i="1"/>
  <c r="E106" i="1"/>
  <c r="B106" i="1"/>
  <c r="I105" i="1"/>
  <c r="E105" i="1"/>
  <c r="B105" i="1"/>
  <c r="E104" i="1"/>
  <c r="B104" i="1"/>
  <c r="I103" i="1"/>
  <c r="E103" i="1"/>
  <c r="B103" i="1"/>
  <c r="I102" i="1"/>
  <c r="E102" i="1"/>
  <c r="B102" i="1"/>
  <c r="I101" i="1"/>
  <c r="E101" i="1"/>
  <c r="B101" i="1"/>
  <c r="I100" i="1"/>
  <c r="E100" i="1"/>
  <c r="B100" i="1"/>
  <c r="I99" i="1"/>
  <c r="E99" i="1"/>
  <c r="B99" i="1"/>
  <c r="I3" i="1"/>
  <c r="E3" i="1"/>
  <c r="B3" i="1"/>
  <c r="E98" i="1"/>
  <c r="B98" i="1"/>
  <c r="I97" i="1"/>
  <c r="E97" i="1"/>
  <c r="B97" i="1"/>
  <c r="I96" i="1"/>
  <c r="E96" i="1"/>
  <c r="B96" i="1"/>
  <c r="I95" i="1"/>
  <c r="E95" i="1"/>
  <c r="B95" i="1"/>
  <c r="I94" i="1"/>
  <c r="E94" i="1"/>
  <c r="B94" i="1"/>
  <c r="I93" i="1"/>
  <c r="E93" i="1"/>
  <c r="B93" i="1"/>
  <c r="I92" i="1"/>
  <c r="E92" i="1"/>
  <c r="B92" i="1"/>
  <c r="I91" i="1"/>
  <c r="E91" i="1"/>
  <c r="B91" i="1"/>
  <c r="I2" i="1"/>
  <c r="E2" i="1"/>
  <c r="B2" i="1"/>
  <c r="E90" i="1"/>
  <c r="B90" i="1"/>
  <c r="E89" i="1"/>
  <c r="B89" i="1"/>
  <c r="E88" i="1"/>
  <c r="B88" i="1"/>
  <c r="I87" i="1"/>
  <c r="E87" i="1"/>
  <c r="B87" i="1"/>
  <c r="I86" i="1"/>
  <c r="E86" i="1"/>
  <c r="B86" i="1"/>
  <c r="I85" i="1"/>
  <c r="E85" i="1"/>
  <c r="B85" i="1"/>
  <c r="I84" i="1"/>
  <c r="E84" i="1"/>
  <c r="B84" i="1"/>
  <c r="I83" i="1"/>
  <c r="E83" i="1"/>
  <c r="B83" i="1"/>
  <c r="I82" i="1"/>
  <c r="E82" i="1"/>
  <c r="B82" i="1"/>
  <c r="I81" i="1"/>
  <c r="E81" i="1"/>
  <c r="B81" i="1"/>
  <c r="I80" i="1"/>
  <c r="E80" i="1"/>
  <c r="B80" i="1"/>
</calcChain>
</file>

<file path=xl/sharedStrings.xml><?xml version="1.0" encoding="utf-8"?>
<sst xmlns="http://schemas.openxmlformats.org/spreadsheetml/2006/main" count="3328" uniqueCount="270">
  <si>
    <t>S.L.</t>
  </si>
  <si>
    <t>imaplink</t>
  </si>
  <si>
    <t>presenceId</t>
  </si>
  <si>
    <t>presentSpeciesId</t>
  </si>
  <si>
    <t>iMapPhoto</t>
  </si>
  <si>
    <t>imap_sci</t>
  </si>
  <si>
    <t>imap_com</t>
  </si>
  <si>
    <t>imap_record_taxon</t>
  </si>
  <si>
    <t>inatlink</t>
  </si>
  <si>
    <t>inat_sci</t>
  </si>
  <si>
    <t>inat_com</t>
  </si>
  <si>
    <t>inat_taxon</t>
  </si>
  <si>
    <t>geo_score</t>
  </si>
  <si>
    <t>com_score</t>
  </si>
  <si>
    <t>species_label</t>
  </si>
  <si>
    <t>com_status</t>
  </si>
  <si>
    <t>NYS_Tier</t>
  </si>
  <si>
    <t>Species_selected_threshold</t>
  </si>
  <si>
    <t>Geo_score_mean</t>
  </si>
  <si>
    <t>Com_score_above_or_below</t>
  </si>
  <si>
    <t>Geo_score_above_or_below</t>
  </si>
  <si>
    <t>Recommended_status</t>
  </si>
  <si>
    <t>Adelges tsugae</t>
  </si>
  <si>
    <t>Hemlock Woolly Adelgid</t>
  </si>
  <si>
    <t>Hemlock woolly adelgid</t>
  </si>
  <si>
    <t>Match</t>
  </si>
  <si>
    <t>3</t>
  </si>
  <si>
    <t>Below</t>
  </si>
  <si>
    <t>Above</t>
  </si>
  <si>
    <t>Manual review</t>
  </si>
  <si>
    <t>Tsuga canadensis</t>
  </si>
  <si>
    <t>Eastern hemlock</t>
  </si>
  <si>
    <t>Unmatch</t>
  </si>
  <si>
    <t>Unknown</t>
  </si>
  <si>
    <t>Automatically confirmed</t>
  </si>
  <si>
    <t>Picea rubens</t>
  </si>
  <si>
    <t>Red spruce</t>
  </si>
  <si>
    <t>Fiorinia externa</t>
  </si>
  <si>
    <t>Elongate hemlock scale</t>
  </si>
  <si>
    <t>Nyssa sylvatica</t>
  </si>
  <si>
    <t>Black tupelo</t>
  </si>
  <si>
    <t>Betula populifolia</t>
  </si>
  <si>
    <t>Gray birch</t>
  </si>
  <si>
    <t>Pinus strobus</t>
  </si>
  <si>
    <t>Eastern white pine</t>
  </si>
  <si>
    <t>Alliaria petiolata</t>
  </si>
  <si>
    <t>Garlic Mustard</t>
  </si>
  <si>
    <t>Garlic mustard</t>
  </si>
  <si>
    <t>4</t>
  </si>
  <si>
    <t>Ficaria verna</t>
  </si>
  <si>
    <t>Lesser celandine</t>
  </si>
  <si>
    <t>Hesperis matronalis</t>
  </si>
  <si>
    <t>Dame's rocket</t>
  </si>
  <si>
    <t>Lapsana communis</t>
  </si>
  <si>
    <t>Nipplewort</t>
  </si>
  <si>
    <t>Rubus idaeus</t>
  </si>
  <si>
    <t>Red raspberry</t>
  </si>
  <si>
    <t>Verbena urticifolia</t>
  </si>
  <si>
    <t>White vervain</t>
  </si>
  <si>
    <t>Asparagus officinalis</t>
  </si>
  <si>
    <t>Wild asparagus</t>
  </si>
  <si>
    <t>Comptonia peregrina</t>
  </si>
  <si>
    <t>Sweetfern</t>
  </si>
  <si>
    <t>Cichorium intybus</t>
  </si>
  <si>
    <t>Chicory</t>
  </si>
  <si>
    <t>nan</t>
  </si>
  <si>
    <t>Daucus carota</t>
  </si>
  <si>
    <t>Wild Carrot</t>
  </si>
  <si>
    <t>Wild carrot</t>
  </si>
  <si>
    <t>Euphorbia virgata</t>
  </si>
  <si>
    <t>Leafy Spurge</t>
  </si>
  <si>
    <t>Slender leafy spurge</t>
  </si>
  <si>
    <t>Galium odoratum</t>
  </si>
  <si>
    <t>Sweet Bedstraw</t>
  </si>
  <si>
    <t>Galium mollugo</t>
  </si>
  <si>
    <t>Hedge bedstraw</t>
  </si>
  <si>
    <t>Glechoma hederacea</t>
  </si>
  <si>
    <t>Ground-ivy</t>
  </si>
  <si>
    <t>Hedera helix</t>
  </si>
  <si>
    <t>English Ivy</t>
  </si>
  <si>
    <t>Lymantria dispar</t>
  </si>
  <si>
    <t>Spongy Moth</t>
  </si>
  <si>
    <t>Spongy moth</t>
  </si>
  <si>
    <t>Lythrum salicaria</t>
  </si>
  <si>
    <t>Purple Loosestrife</t>
  </si>
  <si>
    <t>Pyrus calleryana</t>
  </si>
  <si>
    <t>Bradford Pear</t>
  </si>
  <si>
    <t>Callery pear</t>
  </si>
  <si>
    <t>Japanese Knotweed</t>
  </si>
  <si>
    <t>Rosa multiflora</t>
  </si>
  <si>
    <t>Multiflora Rose</t>
  </si>
  <si>
    <t>M</t>
  </si>
  <si>
    <t>Liriomyza brassicae</t>
  </si>
  <si>
    <t>Cabbage leafminer</t>
  </si>
  <si>
    <t>Berberis thunbergii</t>
  </si>
  <si>
    <t>Japanese Barberry</t>
  </si>
  <si>
    <t>Multiflora rose</t>
  </si>
  <si>
    <t>Acer pensylvanicum</t>
  </si>
  <si>
    <t>Striped maple</t>
  </si>
  <si>
    <t>Japanese barberry</t>
  </si>
  <si>
    <t>Castor canadensis</t>
  </si>
  <si>
    <t>American beaver</t>
  </si>
  <si>
    <t>Elaeagnus umbellata</t>
  </si>
  <si>
    <t>Autumn-olive</t>
  </si>
  <si>
    <t>Celastrus orbiculatus</t>
  </si>
  <si>
    <t>Oriental bittersweet</t>
  </si>
  <si>
    <t>Persicaria perfoliata</t>
  </si>
  <si>
    <t>Mile-a-minute-weed</t>
  </si>
  <si>
    <t>Malus baccata</t>
  </si>
  <si>
    <t>Siberian crabapple</t>
  </si>
  <si>
    <t>Platanus occidentalis</t>
  </si>
  <si>
    <t>American sycamore</t>
  </si>
  <si>
    <t>Euonymus alatus</t>
  </si>
  <si>
    <t>Winged euonymus</t>
  </si>
  <si>
    <t>Berberis spp. (species unknown)</t>
  </si>
  <si>
    <t>Barberry (species unknown)</t>
  </si>
  <si>
    <t>Berberis vulgaris</t>
  </si>
  <si>
    <t>European Barberry</t>
  </si>
  <si>
    <t>European barberry</t>
  </si>
  <si>
    <t>Vaccinium corymbosum</t>
  </si>
  <si>
    <t>Northern highbush blueberry</t>
  </si>
  <si>
    <t>Common ivy</t>
  </si>
  <si>
    <t>Artemisia vulgaris</t>
  </si>
  <si>
    <t>Common Wormwood</t>
  </si>
  <si>
    <t>Persicaria virginiana</t>
  </si>
  <si>
    <t>American jumpseed</t>
  </si>
  <si>
    <t>Oriental Bittersweet</t>
  </si>
  <si>
    <t>Tilia americana</t>
  </si>
  <si>
    <t>Basswood</t>
  </si>
  <si>
    <t>Winged Spindletree</t>
  </si>
  <si>
    <t>Hieracium venosum</t>
  </si>
  <si>
    <t>Rattlesnakeweed</t>
  </si>
  <si>
    <t>Ligustrum obtusifolium</t>
  </si>
  <si>
    <t>Border privet</t>
  </si>
  <si>
    <t>Fraxinus americana</t>
  </si>
  <si>
    <t>White ash</t>
  </si>
  <si>
    <t>Homo sapiens</t>
  </si>
  <si>
    <t>Human</t>
  </si>
  <si>
    <t>Celastrus scandens</t>
  </si>
  <si>
    <t>American bittersweet</t>
  </si>
  <si>
    <t>Rhamnus cathartica</t>
  </si>
  <si>
    <t>Common buckthorn</t>
  </si>
  <si>
    <t>Rubus occidentalis</t>
  </si>
  <si>
    <t>Black raspberry</t>
  </si>
  <si>
    <t>Litylenchus crenatae mccannii</t>
  </si>
  <si>
    <t>Beech leaf disease nematode</t>
  </si>
  <si>
    <t>Litylenchus crenatae</t>
  </si>
  <si>
    <t>Beech leaf disease</t>
  </si>
  <si>
    <t>Fagus grandifolia</t>
  </si>
  <si>
    <t>American beech</t>
  </si>
  <si>
    <t>Agrilus planipennis</t>
  </si>
  <si>
    <t>Emerald ash borer</t>
  </si>
  <si>
    <t>Amelanchier arborea</t>
  </si>
  <si>
    <t>Common serviceberry</t>
  </si>
  <si>
    <t>Ostrya virginiana</t>
  </si>
  <si>
    <t>American hophornbeam</t>
  </si>
  <si>
    <t>Fagus sylvatica</t>
  </si>
  <si>
    <t>European beech</t>
  </si>
  <si>
    <t>Acalitus ferrugineum</t>
  </si>
  <si>
    <t>Beech erineum mite</t>
  </si>
  <si>
    <t>Vicia tenuifolia</t>
  </si>
  <si>
    <t>Fine-leaved vetch</t>
  </si>
  <si>
    <t>Typha latifolia</t>
  </si>
  <si>
    <t>Broadleaf cattail</t>
  </si>
  <si>
    <t>Purple loosestrife</t>
  </si>
  <si>
    <t>Symphyotrichum novae-angliae</t>
  </si>
  <si>
    <t>New england aster</t>
  </si>
  <si>
    <t>Phragmites australis</t>
  </si>
  <si>
    <t>Common reed</t>
  </si>
  <si>
    <t>Symphyotrichum pilosum</t>
  </si>
  <si>
    <t>Hairy white oldfield aster</t>
  </si>
  <si>
    <t>Lysimachia thyrsiflora</t>
  </si>
  <si>
    <t>Tufted loosestrife</t>
  </si>
  <si>
    <t>Strix varia</t>
  </si>
  <si>
    <t>Barred owl</t>
  </si>
  <si>
    <t>Tenodera sinensis</t>
  </si>
  <si>
    <t>Chinese mantis</t>
  </si>
  <si>
    <t>Hymenachne amplexicaulis</t>
  </si>
  <si>
    <t>Common mugwort</t>
  </si>
  <si>
    <t>Stachys palustris</t>
  </si>
  <si>
    <t>Marsh woundwort</t>
  </si>
  <si>
    <t>Solidago altissima</t>
  </si>
  <si>
    <t>Tall goldenrod</t>
  </si>
  <si>
    <t>Centaurea stoebe ssp. micranthos</t>
  </si>
  <si>
    <t>Spotted Star-thistle</t>
  </si>
  <si>
    <t>Euthamia graminifolia</t>
  </si>
  <si>
    <t>Flat-topped goldenrod</t>
  </si>
  <si>
    <t>Dipsacus laciniatus</t>
  </si>
  <si>
    <t>Cutleaf Teasel</t>
  </si>
  <si>
    <t>Dipsacus fullonum</t>
  </si>
  <si>
    <t>Wild teasel</t>
  </si>
  <si>
    <t>Buckthorn</t>
  </si>
  <si>
    <t>Prunus serotina</t>
  </si>
  <si>
    <t>Black cherry</t>
  </si>
  <si>
    <t>Apiosporina morbosa</t>
  </si>
  <si>
    <t>Black knot</t>
  </si>
  <si>
    <t>Malus sylvestris</t>
  </si>
  <si>
    <t>European wild apple</t>
  </si>
  <si>
    <t>Juglans nigra</t>
  </si>
  <si>
    <t>Eastern black walnut</t>
  </si>
  <si>
    <t>Vitis riparia</t>
  </si>
  <si>
    <t>Riverbank grape</t>
  </si>
  <si>
    <t>Ulmus thomasii</t>
  </si>
  <si>
    <t>Rock elm</t>
  </si>
  <si>
    <t>Populus tremuloides</t>
  </si>
  <si>
    <t>Quaking aspen</t>
  </si>
  <si>
    <t>Cynanchum spp. (species unknown)</t>
  </si>
  <si>
    <t>Swallowwort (species unknown)</t>
  </si>
  <si>
    <t>Vincetoxicum rossicum</t>
  </si>
  <si>
    <t>European swallow-wort</t>
  </si>
  <si>
    <t>Robinia pseudoacacia</t>
  </si>
  <si>
    <t>Black locust</t>
  </si>
  <si>
    <t>Betula alleghaniensis</t>
  </si>
  <si>
    <t>Yellow birch</t>
  </si>
  <si>
    <t>Betula davurica</t>
  </si>
  <si>
    <t>Dahurian birch</t>
  </si>
  <si>
    <t>Prunus virginiana</t>
  </si>
  <si>
    <t>Chokecherry</t>
  </si>
  <si>
    <t>Dryocopus pileatus</t>
  </si>
  <si>
    <t>Pileated woodpecker</t>
  </si>
  <si>
    <t>Cornus alternifolia</t>
  </si>
  <si>
    <t>Alternate-leaved dogwood</t>
  </si>
  <si>
    <t>Pekania pennanti</t>
  </si>
  <si>
    <t>Fisher</t>
  </si>
  <si>
    <t>Vaccinium pallidum</t>
  </si>
  <si>
    <t>Early lowbush blueberry</t>
  </si>
  <si>
    <t>Caragana frutex</t>
  </si>
  <si>
    <t>Russian peashrub</t>
  </si>
  <si>
    <t>Rosa canina</t>
  </si>
  <si>
    <t>Dog-rose</t>
  </si>
  <si>
    <t>Physocarpus opulifolius</t>
  </si>
  <si>
    <t>Common ninebark</t>
  </si>
  <si>
    <t>Confirmed</t>
  </si>
  <si>
    <t>Human review for auto-confirm</t>
  </si>
  <si>
    <t>Not confirmed</t>
  </si>
  <si>
    <t>Reynoutria japonica var. japonica : Fallopia japonica var. japonica</t>
  </si>
  <si>
    <t>Reynoutria japonica</t>
  </si>
  <si>
    <t>Japanese knotweed</t>
  </si>
  <si>
    <t>Cercis canadensis</t>
  </si>
  <si>
    <t>Eastern redbud</t>
  </si>
  <si>
    <t>Photo_quality</t>
  </si>
  <si>
    <t>Good</t>
  </si>
  <si>
    <t>Bad</t>
  </si>
  <si>
    <t>This is labeled as Japanese knotweed in iMap which is wrong but gave correct species in iNat</t>
  </si>
  <si>
    <t>The photo orientation is not right</t>
  </si>
  <si>
    <t>The iMap species label is wrong but the iNaturalist output is correct</t>
  </si>
  <si>
    <t>Lycorma delicatula</t>
  </si>
  <si>
    <t>Spotted Lanternfly</t>
  </si>
  <si>
    <t>Spotted lanternfly</t>
  </si>
  <si>
    <t>Ailanthus altissima</t>
  </si>
  <si>
    <t>Tree-of-Heaven</t>
  </si>
  <si>
    <t>Tree-of-heaven</t>
  </si>
  <si>
    <t>Acer negundo</t>
  </si>
  <si>
    <t>Box elder</t>
  </si>
  <si>
    <t>Liriodendron tulipifera</t>
  </si>
  <si>
    <t>Tulip tree</t>
  </si>
  <si>
    <t>Carya ovata</t>
  </si>
  <si>
    <t>Shagbark hickory</t>
  </si>
  <si>
    <t>Fraxinus uhdei</t>
  </si>
  <si>
    <t>Shamel ash</t>
  </si>
  <si>
    <t>Rhus typhina</t>
  </si>
  <si>
    <t>Staghorn sumac</t>
  </si>
  <si>
    <t>Juglans cinerea</t>
  </si>
  <si>
    <t>Butternut</t>
  </si>
  <si>
    <t>Carya cordiformis</t>
  </si>
  <si>
    <t>Bitternut hickory</t>
  </si>
  <si>
    <t>Acer rubrum</t>
  </si>
  <si>
    <t>Red maple</t>
  </si>
  <si>
    <t>Aralia elata</t>
  </si>
  <si>
    <t>Japanese angelica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</si>
</sst>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7"/>
  <sheetViews>
    <sheetView tabSelected="1" zoomScale="115" zoomScaleNormal="115" workbookViewId="0">
      <pane ySplit="1" topLeftCell="A2" activePane="bottomLeft" state="frozen"/>
      <selection pane="bottomLeft" activeCell="T327" sqref="T327"/>
    </sheetView>
  </sheetViews>
  <sheetFormatPr defaultColWidth="15.88671875" defaultRowHeight="14.4" x14ac:dyDescent="0.3"/>
  <cols>
    <col min="1" max="1" width="7.21875" customWidth="1"/>
    <col min="2" max="2" width="9.109375" customWidth="1"/>
    <col min="3" max="3" width="11.109375" customWidth="1"/>
    <col min="5" max="5" width="10" customWidth="1"/>
    <col min="6" max="6" width="15" customWidth="1"/>
    <col min="7" max="7" width="17.5546875" customWidth="1"/>
    <col min="8" max="8" width="12.44140625" customWidth="1"/>
    <col min="9" max="9" width="13.77734375" customWidth="1"/>
    <col min="16" max="16" width="10" customWidth="1"/>
    <col min="17" max="17" width="10.5546875" customWidth="1"/>
    <col min="22" max="22" width="21.554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240</v>
      </c>
      <c r="X1" s="1" t="s">
        <v>233</v>
      </c>
    </row>
    <row r="2" spans="1:24" x14ac:dyDescent="0.3">
      <c r="A2">
        <v>12</v>
      </c>
      <c r="B2" t="str">
        <f>HYPERLINK("https://imapinvasives.natureserve.org/imap/services/page/Presence/1351159.html", "View")</f>
        <v>View</v>
      </c>
      <c r="C2">
        <v>1351159</v>
      </c>
      <c r="D2">
        <v>1368442</v>
      </c>
      <c r="E2" t="str">
        <f>HYPERLINK("http://imap3images.s3-website-us-east-1.amazonaws.com/1368442/p/Photo3-20230206-162252.jpg", "View")</f>
        <v>View</v>
      </c>
      <c r="F2" t="s">
        <v>22</v>
      </c>
      <c r="G2" t="s">
        <v>23</v>
      </c>
      <c r="H2">
        <v>61513</v>
      </c>
      <c r="I2" t="str">
        <f>HYPERLINK("https://www.inaturalist.org/taxa/61513-Adelges-tsugae", "View")</f>
        <v>View</v>
      </c>
      <c r="J2" t="s">
        <v>22</v>
      </c>
      <c r="K2" t="s">
        <v>24</v>
      </c>
      <c r="L2">
        <v>61513</v>
      </c>
      <c r="M2">
        <v>25.15</v>
      </c>
      <c r="N2">
        <v>99.87</v>
      </c>
      <c r="O2">
        <v>1</v>
      </c>
      <c r="P2" t="s">
        <v>25</v>
      </c>
      <c r="Q2" t="s">
        <v>26</v>
      </c>
      <c r="R2">
        <v>82.85</v>
      </c>
      <c r="S2">
        <v>21.26</v>
      </c>
      <c r="T2" t="s">
        <v>28</v>
      </c>
      <c r="U2" t="s">
        <v>28</v>
      </c>
      <c r="V2" t="s">
        <v>34</v>
      </c>
      <c r="W2" t="s">
        <v>241</v>
      </c>
      <c r="X2" t="s">
        <v>232</v>
      </c>
    </row>
    <row r="3" spans="1:24" x14ac:dyDescent="0.3">
      <c r="A3">
        <v>21</v>
      </c>
      <c r="B3" t="str">
        <f>HYPERLINK("https://imapinvasives.natureserve.org/imap/services/page/Presence/1269887.html", "View")</f>
        <v>View</v>
      </c>
      <c r="C3">
        <v>1269887</v>
      </c>
      <c r="D3">
        <v>1278818</v>
      </c>
      <c r="E3" t="str">
        <f>HYPERLINK("http://imap3images.s3-website-us-east-1.amazonaws.com/1278818/p/imap_app_photo_1650142533321.jpg", "View")</f>
        <v>View</v>
      </c>
      <c r="F3" t="s">
        <v>22</v>
      </c>
      <c r="G3" t="s">
        <v>23</v>
      </c>
      <c r="H3">
        <v>61513</v>
      </c>
      <c r="I3" t="str">
        <f>HYPERLINK("https://www.inaturalist.org/taxa/61513-Adelges-tsugae", "View")</f>
        <v>View</v>
      </c>
      <c r="J3" t="s">
        <v>22</v>
      </c>
      <c r="K3" t="s">
        <v>24</v>
      </c>
      <c r="L3">
        <v>61513</v>
      </c>
      <c r="M3">
        <v>32.92</v>
      </c>
      <c r="N3">
        <v>96.39</v>
      </c>
      <c r="O3">
        <v>1</v>
      </c>
      <c r="P3" t="s">
        <v>25</v>
      </c>
      <c r="Q3" t="s">
        <v>26</v>
      </c>
      <c r="R3">
        <v>82.85</v>
      </c>
      <c r="S3">
        <v>21.26</v>
      </c>
      <c r="T3" t="s">
        <v>28</v>
      </c>
      <c r="U3" t="s">
        <v>28</v>
      </c>
      <c r="V3" t="s">
        <v>34</v>
      </c>
      <c r="W3" t="s">
        <v>241</v>
      </c>
      <c r="X3" t="s">
        <v>232</v>
      </c>
    </row>
    <row r="4" spans="1:24" x14ac:dyDescent="0.3">
      <c r="A4">
        <v>36</v>
      </c>
      <c r="B4" t="str">
        <f>HYPERLINK("https://imapinvasives.natureserve.org/imap/services/page/Presence/1413844.html", "View")</f>
        <v>View</v>
      </c>
      <c r="C4">
        <v>1413844</v>
      </c>
      <c r="D4">
        <v>1427343</v>
      </c>
      <c r="E4" t="str">
        <f>HYPERLINK("http://imap3images.s3-website-us-east-1.amazonaws.com/1427343/p/imap_app_photo_1719610725052.jpg", "View")</f>
        <v>View</v>
      </c>
      <c r="F4" t="s">
        <v>45</v>
      </c>
      <c r="G4" t="s">
        <v>46</v>
      </c>
      <c r="H4">
        <v>56061</v>
      </c>
      <c r="I4" t="str">
        <f t="shared" ref="I4:I9" si="0">HYPERLINK("https://www.inaturalist.org/taxa/56061-Alliaria-petiolata", "View")</f>
        <v>View</v>
      </c>
      <c r="J4" t="s">
        <v>45</v>
      </c>
      <c r="K4" t="s">
        <v>47</v>
      </c>
      <c r="L4">
        <v>56061</v>
      </c>
      <c r="M4">
        <v>84.49</v>
      </c>
      <c r="N4">
        <v>93.12</v>
      </c>
      <c r="O4">
        <v>1</v>
      </c>
      <c r="P4" t="s">
        <v>25</v>
      </c>
      <c r="Q4" t="s">
        <v>48</v>
      </c>
      <c r="R4">
        <v>88.91</v>
      </c>
      <c r="S4">
        <v>39.89</v>
      </c>
      <c r="T4" t="s">
        <v>28</v>
      </c>
      <c r="U4" t="s">
        <v>28</v>
      </c>
      <c r="V4" t="s">
        <v>34</v>
      </c>
      <c r="W4" t="s">
        <v>241</v>
      </c>
      <c r="X4" t="s">
        <v>232</v>
      </c>
    </row>
    <row r="5" spans="1:24" x14ac:dyDescent="0.3">
      <c r="A5">
        <v>38</v>
      </c>
      <c r="B5" t="str">
        <f>HYPERLINK("https://imapinvasives.natureserve.org/imap/services/page/Presence/1417257.html", "View")</f>
        <v>View</v>
      </c>
      <c r="C5">
        <v>1417257</v>
      </c>
      <c r="D5">
        <v>1430905</v>
      </c>
      <c r="E5" t="str">
        <f>HYPERLINK("http://imap3images.s3-website-us-east-1.amazonaws.com/1430905/p/imap_app_photo_1720636489379.jpg", "View")</f>
        <v>View</v>
      </c>
      <c r="F5" t="s">
        <v>45</v>
      </c>
      <c r="G5" t="s">
        <v>46</v>
      </c>
      <c r="H5">
        <v>56061</v>
      </c>
      <c r="I5" t="str">
        <f t="shared" si="0"/>
        <v>View</v>
      </c>
      <c r="J5" t="s">
        <v>45</v>
      </c>
      <c r="K5" t="s">
        <v>47</v>
      </c>
      <c r="L5">
        <v>56061</v>
      </c>
      <c r="M5">
        <v>79.31</v>
      </c>
      <c r="N5">
        <v>99.81</v>
      </c>
      <c r="O5">
        <v>1</v>
      </c>
      <c r="P5" t="s">
        <v>25</v>
      </c>
      <c r="Q5" t="s">
        <v>48</v>
      </c>
      <c r="R5">
        <v>88.91</v>
      </c>
      <c r="S5">
        <v>39.89</v>
      </c>
      <c r="T5" t="s">
        <v>28</v>
      </c>
      <c r="U5" t="s">
        <v>28</v>
      </c>
      <c r="V5" t="s">
        <v>34</v>
      </c>
      <c r="W5" t="s">
        <v>241</v>
      </c>
      <c r="X5" t="s">
        <v>232</v>
      </c>
    </row>
    <row r="6" spans="1:24" x14ac:dyDescent="0.3">
      <c r="A6">
        <v>42</v>
      </c>
      <c r="B6" t="str">
        <f>HYPERLINK("https://imapinvasives.natureserve.org/imap/services/page/Presence/1271429.html", "View")</f>
        <v>View</v>
      </c>
      <c r="C6">
        <v>1271429</v>
      </c>
      <c r="D6">
        <v>1280395</v>
      </c>
      <c r="E6" t="str">
        <f>HYPERLINK("http://imap3images.s3-website-us-east-1.amazonaws.com/1280395/p/imap_app_photo_1651508453501.jpg", "View")</f>
        <v>View</v>
      </c>
      <c r="F6" t="s">
        <v>45</v>
      </c>
      <c r="G6" t="s">
        <v>46</v>
      </c>
      <c r="H6">
        <v>56061</v>
      </c>
      <c r="I6" t="str">
        <f t="shared" si="0"/>
        <v>View</v>
      </c>
      <c r="J6" t="s">
        <v>45</v>
      </c>
      <c r="K6" t="s">
        <v>47</v>
      </c>
      <c r="L6">
        <v>56061</v>
      </c>
      <c r="M6">
        <v>29.71</v>
      </c>
      <c r="N6">
        <v>99.55</v>
      </c>
      <c r="O6">
        <v>1</v>
      </c>
      <c r="P6" t="s">
        <v>25</v>
      </c>
      <c r="Q6" t="s">
        <v>48</v>
      </c>
      <c r="R6">
        <v>88.91</v>
      </c>
      <c r="S6">
        <v>39.89</v>
      </c>
      <c r="T6" t="s">
        <v>28</v>
      </c>
      <c r="U6" t="s">
        <v>27</v>
      </c>
      <c r="V6" t="s">
        <v>34</v>
      </c>
      <c r="W6" t="s">
        <v>241</v>
      </c>
      <c r="X6" t="s">
        <v>232</v>
      </c>
    </row>
    <row r="7" spans="1:24" x14ac:dyDescent="0.3">
      <c r="A7">
        <v>44</v>
      </c>
      <c r="B7" t="str">
        <f>HYPERLINK("https://imapinvasives.natureserve.org/imap/services/page/Presence/1331696.html", "View")</f>
        <v>View</v>
      </c>
      <c r="C7">
        <v>1331696</v>
      </c>
      <c r="D7">
        <v>1345190</v>
      </c>
      <c r="E7" t="str">
        <f>HYPERLINK("http://imap3images.s3-website-us-east-1.amazonaws.com/1345190/p/PXL_20230522_225807561.jpg", "View")</f>
        <v>View</v>
      </c>
      <c r="F7" t="s">
        <v>45</v>
      </c>
      <c r="G7" t="s">
        <v>46</v>
      </c>
      <c r="H7">
        <v>56061</v>
      </c>
      <c r="I7" t="str">
        <f t="shared" si="0"/>
        <v>View</v>
      </c>
      <c r="J7" t="s">
        <v>45</v>
      </c>
      <c r="K7" t="s">
        <v>47</v>
      </c>
      <c r="L7">
        <v>56061</v>
      </c>
      <c r="M7">
        <v>47.54</v>
      </c>
      <c r="N7">
        <v>97.59</v>
      </c>
      <c r="O7">
        <v>1</v>
      </c>
      <c r="P7" t="s">
        <v>25</v>
      </c>
      <c r="Q7" t="s">
        <v>48</v>
      </c>
      <c r="R7">
        <v>88.91</v>
      </c>
      <c r="S7">
        <v>39.89</v>
      </c>
      <c r="T7" t="s">
        <v>28</v>
      </c>
      <c r="U7" t="s">
        <v>28</v>
      </c>
      <c r="V7" t="s">
        <v>34</v>
      </c>
      <c r="W7" t="s">
        <v>241</v>
      </c>
      <c r="X7" t="s">
        <v>232</v>
      </c>
    </row>
    <row r="8" spans="1:24" x14ac:dyDescent="0.3">
      <c r="A8">
        <v>47</v>
      </c>
      <c r="B8" t="str">
        <f>HYPERLINK("https://imapinvasives.natureserve.org/imap/services/page/Presence/1329118.html", "View")</f>
        <v>View</v>
      </c>
      <c r="C8">
        <v>1329118</v>
      </c>
      <c r="D8">
        <v>1342491</v>
      </c>
      <c r="E8" t="str">
        <f>HYPERLINK("http://imap3images.s3-website-us-east-1.amazonaws.com/1342491/p/imap_app_photo_1683895885378.jpg", "View")</f>
        <v>View</v>
      </c>
      <c r="F8" t="s">
        <v>45</v>
      </c>
      <c r="G8" t="s">
        <v>46</v>
      </c>
      <c r="H8">
        <v>56061</v>
      </c>
      <c r="I8" t="str">
        <f t="shared" si="0"/>
        <v>View</v>
      </c>
      <c r="J8" t="s">
        <v>45</v>
      </c>
      <c r="K8" t="s">
        <v>47</v>
      </c>
      <c r="L8">
        <v>56061</v>
      </c>
      <c r="M8">
        <v>22.52</v>
      </c>
      <c r="N8">
        <v>96.15</v>
      </c>
      <c r="O8">
        <v>1</v>
      </c>
      <c r="P8" t="s">
        <v>25</v>
      </c>
      <c r="Q8" t="s">
        <v>48</v>
      </c>
      <c r="R8">
        <v>88.91</v>
      </c>
      <c r="S8">
        <v>39.89</v>
      </c>
      <c r="T8" t="s">
        <v>28</v>
      </c>
      <c r="U8" t="s">
        <v>27</v>
      </c>
      <c r="V8" t="s">
        <v>34</v>
      </c>
      <c r="W8" t="s">
        <v>241</v>
      </c>
      <c r="X8" t="s">
        <v>232</v>
      </c>
    </row>
    <row r="9" spans="1:24" x14ac:dyDescent="0.3">
      <c r="A9">
        <v>55</v>
      </c>
      <c r="B9" t="str">
        <f>HYPERLINK("https://imapinvasives.natureserve.org/imap/services/page/Presence/1443662.html", "View")</f>
        <v>View</v>
      </c>
      <c r="C9">
        <v>1443662</v>
      </c>
      <c r="D9">
        <v>1458306</v>
      </c>
      <c r="E9" t="str">
        <f>HYPERLINK("http://imap3images.s3-website-us-east-1.amazonaws.com/1458306/p/IMG_20230426_105559.jpg", "View")</f>
        <v>View</v>
      </c>
      <c r="F9" t="s">
        <v>45</v>
      </c>
      <c r="G9" t="s">
        <v>46</v>
      </c>
      <c r="H9">
        <v>56061</v>
      </c>
      <c r="I9" t="str">
        <f t="shared" si="0"/>
        <v>View</v>
      </c>
      <c r="J9" t="s">
        <v>45</v>
      </c>
      <c r="K9" t="s">
        <v>47</v>
      </c>
      <c r="L9">
        <v>56061</v>
      </c>
      <c r="M9">
        <v>84.49</v>
      </c>
      <c r="N9">
        <v>99.87</v>
      </c>
      <c r="O9">
        <v>1</v>
      </c>
      <c r="P9" t="s">
        <v>25</v>
      </c>
      <c r="Q9" t="s">
        <v>48</v>
      </c>
      <c r="R9">
        <v>88.91</v>
      </c>
      <c r="S9">
        <v>39.89</v>
      </c>
      <c r="T9" t="s">
        <v>28</v>
      </c>
      <c r="U9" t="s">
        <v>28</v>
      </c>
      <c r="V9" t="s">
        <v>34</v>
      </c>
      <c r="W9" t="s">
        <v>241</v>
      </c>
      <c r="X9" t="s">
        <v>232</v>
      </c>
    </row>
    <row r="10" spans="1:24" x14ac:dyDescent="0.3">
      <c r="A10">
        <v>55</v>
      </c>
      <c r="B10" t="str">
        <f>HYPERLINK("https://imapinvasives.natureserve.org/imap/services/page/Presence/1443662.html", "View")</f>
        <v>View</v>
      </c>
      <c r="C10">
        <v>1443662</v>
      </c>
      <c r="D10">
        <v>1458309</v>
      </c>
      <c r="E10" t="str">
        <f>HYPERLINK("http://imap3images.s3-website-us-east-1.amazonaws.com/1458309/p/IMG_20230629_100220.jpg", "View")</f>
        <v>View</v>
      </c>
      <c r="F10" t="s">
        <v>63</v>
      </c>
      <c r="G10" t="s">
        <v>64</v>
      </c>
      <c r="H10">
        <v>52913</v>
      </c>
      <c r="I10" t="str">
        <f>HYPERLINK("https://www.inaturalist.org/taxa/52913-Cichorium-intybus", "View")</f>
        <v>View</v>
      </c>
      <c r="J10" t="s">
        <v>63</v>
      </c>
      <c r="K10" t="s">
        <v>64</v>
      </c>
      <c r="L10">
        <v>52913</v>
      </c>
      <c r="M10">
        <v>68.03</v>
      </c>
      <c r="N10">
        <v>99.48</v>
      </c>
      <c r="O10">
        <v>1</v>
      </c>
      <c r="P10" t="s">
        <v>25</v>
      </c>
      <c r="Q10" t="s">
        <v>65</v>
      </c>
      <c r="R10">
        <v>77.62</v>
      </c>
      <c r="S10">
        <v>36.5</v>
      </c>
      <c r="T10" t="s">
        <v>28</v>
      </c>
      <c r="U10" t="s">
        <v>28</v>
      </c>
      <c r="V10" t="s">
        <v>34</v>
      </c>
      <c r="W10" t="s">
        <v>241</v>
      </c>
      <c r="X10" t="s">
        <v>232</v>
      </c>
    </row>
    <row r="11" spans="1:24" x14ac:dyDescent="0.3">
      <c r="A11">
        <v>55</v>
      </c>
      <c r="B11" t="str">
        <f>HYPERLINK("https://imapinvasives.natureserve.org/imap/services/page/Presence/1443662.html", "View")</f>
        <v>View</v>
      </c>
      <c r="C11">
        <v>1443662</v>
      </c>
      <c r="D11">
        <v>1458304</v>
      </c>
      <c r="E11" t="str">
        <f>HYPERLINK("http://imap3images.s3-website-us-east-1.amazonaws.com/1458304/p/IMG_20230807_131237.jpg", "View")</f>
        <v>View</v>
      </c>
      <c r="F11" t="s">
        <v>66</v>
      </c>
      <c r="G11" t="s">
        <v>67</v>
      </c>
      <c r="H11">
        <v>76610</v>
      </c>
      <c r="I11" t="str">
        <f>HYPERLINK("https://www.inaturalist.org/taxa/76610-Daucus-carota", "View")</f>
        <v>View</v>
      </c>
      <c r="J11" t="s">
        <v>66</v>
      </c>
      <c r="K11" t="s">
        <v>68</v>
      </c>
      <c r="L11">
        <v>76610</v>
      </c>
      <c r="M11">
        <v>71.98</v>
      </c>
      <c r="N11">
        <v>97.7</v>
      </c>
      <c r="O11">
        <v>1</v>
      </c>
      <c r="P11" t="s">
        <v>25</v>
      </c>
      <c r="Q11" t="s">
        <v>65</v>
      </c>
      <c r="R11">
        <v>77.62</v>
      </c>
      <c r="S11">
        <v>36.5</v>
      </c>
      <c r="T11" t="s">
        <v>28</v>
      </c>
      <c r="U11" t="s">
        <v>28</v>
      </c>
      <c r="V11" t="s">
        <v>34</v>
      </c>
      <c r="W11" t="s">
        <v>241</v>
      </c>
      <c r="X11" t="s">
        <v>232</v>
      </c>
    </row>
    <row r="12" spans="1:24" x14ac:dyDescent="0.3">
      <c r="A12">
        <v>55</v>
      </c>
      <c r="B12" t="str">
        <f>HYPERLINK("https://imapinvasives.natureserve.org/imap/services/page/Presence/1443662.html", "View")</f>
        <v>View</v>
      </c>
      <c r="C12">
        <v>1443662</v>
      </c>
      <c r="D12">
        <v>1458302</v>
      </c>
      <c r="E12" t="str">
        <f>HYPERLINK("http://imap3images.s3-website-us-east-1.amazonaws.com/1458302/p/IMG_20240622_145523.jpg", "View")</f>
        <v>View</v>
      </c>
      <c r="F12" t="s">
        <v>80</v>
      </c>
      <c r="G12" t="s">
        <v>81</v>
      </c>
      <c r="H12">
        <v>47802</v>
      </c>
      <c r="I12" t="str">
        <f>HYPERLINK("https://www.inaturalist.org/taxa/47802-Lymantria-dispar", "View")</f>
        <v>View</v>
      </c>
      <c r="J12" t="s">
        <v>80</v>
      </c>
      <c r="K12" t="s">
        <v>82</v>
      </c>
      <c r="L12">
        <v>47802</v>
      </c>
      <c r="M12">
        <v>65.040000000000006</v>
      </c>
      <c r="N12">
        <v>99.9</v>
      </c>
      <c r="O12">
        <v>1</v>
      </c>
      <c r="P12" t="s">
        <v>25</v>
      </c>
      <c r="Q12" t="s">
        <v>48</v>
      </c>
      <c r="R12">
        <v>77.62</v>
      </c>
      <c r="S12">
        <v>36.5</v>
      </c>
      <c r="T12" t="s">
        <v>28</v>
      </c>
      <c r="U12" t="s">
        <v>28</v>
      </c>
      <c r="V12" t="s">
        <v>34</v>
      </c>
      <c r="W12" t="s">
        <v>241</v>
      </c>
      <c r="X12" t="s">
        <v>232</v>
      </c>
    </row>
    <row r="13" spans="1:24" x14ac:dyDescent="0.3">
      <c r="A13">
        <v>55</v>
      </c>
      <c r="B13" t="str">
        <f>HYPERLINK("https://imapinvasives.natureserve.org/imap/services/page/Presence/1443662.html", "View")</f>
        <v>View</v>
      </c>
      <c r="C13">
        <v>1443662</v>
      </c>
      <c r="D13">
        <v>1458297</v>
      </c>
      <c r="E13" t="str">
        <f>HYPERLINK("http://imap3images.s3-website-us-east-1.amazonaws.com/1458297/p/IMG_20240418_135802.jpg", "View")</f>
        <v>View</v>
      </c>
      <c r="F13" t="s">
        <v>85</v>
      </c>
      <c r="G13" t="s">
        <v>86</v>
      </c>
      <c r="H13">
        <v>119793</v>
      </c>
      <c r="I13" t="str">
        <f>HYPERLINK("https://www.inaturalist.org/taxa/119793-Pyrus-calleryana", "View")</f>
        <v>View</v>
      </c>
      <c r="J13" t="s">
        <v>85</v>
      </c>
      <c r="K13" t="s">
        <v>87</v>
      </c>
      <c r="L13">
        <v>119793</v>
      </c>
      <c r="M13">
        <v>37.840000000000003</v>
      </c>
      <c r="N13">
        <v>97.17</v>
      </c>
      <c r="O13">
        <v>1</v>
      </c>
      <c r="P13" t="s">
        <v>25</v>
      </c>
      <c r="Q13" t="s">
        <v>48</v>
      </c>
      <c r="R13">
        <v>77.62</v>
      </c>
      <c r="S13">
        <v>36.5</v>
      </c>
      <c r="T13" t="s">
        <v>28</v>
      </c>
      <c r="U13" t="s">
        <v>28</v>
      </c>
      <c r="V13" t="s">
        <v>34</v>
      </c>
      <c r="W13" t="s">
        <v>241</v>
      </c>
      <c r="X13" t="s">
        <v>232</v>
      </c>
    </row>
    <row r="14" spans="1:24" x14ac:dyDescent="0.3">
      <c r="A14">
        <v>58</v>
      </c>
      <c r="B14" t="str">
        <f>HYPERLINK("https://imapinvasives.natureserve.org/imap/services/page/Presence/1331716.html", "View")</f>
        <v>View</v>
      </c>
      <c r="C14">
        <v>1331716</v>
      </c>
      <c r="D14">
        <v>1345218</v>
      </c>
      <c r="E14" t="str">
        <f>HYPERLINK("http://imap3images.s3-website-us-east-1.amazonaws.com/1345218/p/PXL_20230522_223623950.jpg", "View")</f>
        <v>View</v>
      </c>
      <c r="F14" t="s">
        <v>45</v>
      </c>
      <c r="G14" t="s">
        <v>46</v>
      </c>
      <c r="H14">
        <v>56061</v>
      </c>
      <c r="I14" t="str">
        <f>HYPERLINK("https://www.inaturalist.org/taxa/56061-Alliaria-petiolata", "View")</f>
        <v>View</v>
      </c>
      <c r="J14" t="s">
        <v>45</v>
      </c>
      <c r="K14" t="s">
        <v>47</v>
      </c>
      <c r="L14">
        <v>56061</v>
      </c>
      <c r="M14">
        <v>47.54</v>
      </c>
      <c r="N14">
        <v>95.83</v>
      </c>
      <c r="O14">
        <v>1</v>
      </c>
      <c r="P14" t="s">
        <v>25</v>
      </c>
      <c r="Q14" t="s">
        <v>48</v>
      </c>
      <c r="R14">
        <v>88.91</v>
      </c>
      <c r="S14">
        <v>39.89</v>
      </c>
      <c r="T14" t="s">
        <v>28</v>
      </c>
      <c r="U14" t="s">
        <v>28</v>
      </c>
      <c r="V14" t="s">
        <v>34</v>
      </c>
      <c r="W14" t="s">
        <v>241</v>
      </c>
      <c r="X14" t="s">
        <v>232</v>
      </c>
    </row>
    <row r="15" spans="1:24" x14ac:dyDescent="0.3">
      <c r="A15">
        <v>60</v>
      </c>
      <c r="B15" t="str">
        <f>HYPERLINK("https://imapinvasives.natureserve.org/imap/services/page/Presence/1441222.html", "View")</f>
        <v>View</v>
      </c>
      <c r="C15">
        <v>1441222</v>
      </c>
      <c r="D15">
        <v>1455677</v>
      </c>
      <c r="E15" t="str">
        <f>HYPERLINK("http://imap3images.s3-website-us-east-1.amazonaws.com/1455677/p/imap_app_photo_1723835010497.jpg", "View")</f>
        <v>View</v>
      </c>
      <c r="F15" t="s">
        <v>45</v>
      </c>
      <c r="G15" t="s">
        <v>46</v>
      </c>
      <c r="H15">
        <v>56061</v>
      </c>
      <c r="I15" t="str">
        <f>HYPERLINK("https://www.inaturalist.org/taxa/56061-Alliaria-petiolata", "View")</f>
        <v>View</v>
      </c>
      <c r="J15" t="s">
        <v>45</v>
      </c>
      <c r="K15" t="s">
        <v>47</v>
      </c>
      <c r="L15">
        <v>56061</v>
      </c>
      <c r="M15">
        <v>79.31</v>
      </c>
      <c r="N15">
        <v>95.58</v>
      </c>
      <c r="O15">
        <v>1</v>
      </c>
      <c r="P15" t="s">
        <v>25</v>
      </c>
      <c r="Q15" t="s">
        <v>48</v>
      </c>
      <c r="R15">
        <v>88.91</v>
      </c>
      <c r="S15">
        <v>39.89</v>
      </c>
      <c r="T15" t="s">
        <v>28</v>
      </c>
      <c r="U15" t="s">
        <v>28</v>
      </c>
      <c r="V15" t="s">
        <v>34</v>
      </c>
      <c r="W15" t="s">
        <v>241</v>
      </c>
      <c r="X15" t="s">
        <v>232</v>
      </c>
    </row>
    <row r="16" spans="1:24" x14ac:dyDescent="0.3">
      <c r="A16">
        <v>63</v>
      </c>
      <c r="B16" t="str">
        <f>HYPERLINK("https://imapinvasives.natureserve.org/imap/services/page/Presence/1406991.html", "View")</f>
        <v>View</v>
      </c>
      <c r="C16">
        <v>1406991</v>
      </c>
      <c r="D16">
        <v>1419566</v>
      </c>
      <c r="E16" t="str">
        <f>HYPERLINK("http://imap3images.s3-website-us-east-1.amazonaws.com/1419566/p/imap_app_photo_1715614128106.jpg", "View")</f>
        <v>View</v>
      </c>
      <c r="F16" t="s">
        <v>94</v>
      </c>
      <c r="G16" t="s">
        <v>95</v>
      </c>
      <c r="H16">
        <v>58727</v>
      </c>
      <c r="I16" t="str">
        <f t="shared" ref="I16:I25" si="1">HYPERLINK("https://www.inaturalist.org/taxa/58727-Berberis-thunbergii", "View")</f>
        <v>View</v>
      </c>
      <c r="J16" t="s">
        <v>94</v>
      </c>
      <c r="K16" t="s">
        <v>99</v>
      </c>
      <c r="L16">
        <v>58727</v>
      </c>
      <c r="M16">
        <v>28.18</v>
      </c>
      <c r="N16">
        <v>97.83</v>
      </c>
      <c r="O16">
        <v>1</v>
      </c>
      <c r="P16" t="s">
        <v>25</v>
      </c>
      <c r="Q16" t="s">
        <v>48</v>
      </c>
      <c r="R16">
        <v>90.06</v>
      </c>
      <c r="S16">
        <v>36.549999999999997</v>
      </c>
      <c r="T16" t="s">
        <v>28</v>
      </c>
      <c r="U16" t="s">
        <v>27</v>
      </c>
      <c r="V16" t="s">
        <v>34</v>
      </c>
      <c r="W16" t="s">
        <v>241</v>
      </c>
      <c r="X16" t="s">
        <v>232</v>
      </c>
    </row>
    <row r="17" spans="1:24" x14ac:dyDescent="0.3">
      <c r="A17">
        <v>66</v>
      </c>
      <c r="B17" t="str">
        <f>HYPERLINK("https://imapinvasives.natureserve.org/imap/services/page/Presence/1443075.html", "View")</f>
        <v>View</v>
      </c>
      <c r="C17">
        <v>1443075</v>
      </c>
      <c r="D17">
        <v>1457692</v>
      </c>
      <c r="E17" t="str">
        <f>HYPERLINK("http://imap3images.s3-website-us-east-1.amazonaws.com/1457692/p/imap_app_photo_1724953638015.jpg", "View")</f>
        <v>View</v>
      </c>
      <c r="F17" t="s">
        <v>94</v>
      </c>
      <c r="G17" t="s">
        <v>95</v>
      </c>
      <c r="H17">
        <v>58727</v>
      </c>
      <c r="I17" t="str">
        <f t="shared" si="1"/>
        <v>View</v>
      </c>
      <c r="J17" t="s">
        <v>94</v>
      </c>
      <c r="K17" t="s">
        <v>99</v>
      </c>
      <c r="L17">
        <v>58727</v>
      </c>
      <c r="M17">
        <v>79.959999999999994</v>
      </c>
      <c r="N17">
        <v>95.42</v>
      </c>
      <c r="O17">
        <v>1</v>
      </c>
      <c r="P17" t="s">
        <v>25</v>
      </c>
      <c r="Q17" t="s">
        <v>48</v>
      </c>
      <c r="R17">
        <v>90.06</v>
      </c>
      <c r="S17">
        <v>36.549999999999997</v>
      </c>
      <c r="T17" t="s">
        <v>28</v>
      </c>
      <c r="U17" t="s">
        <v>28</v>
      </c>
      <c r="V17" t="s">
        <v>34</v>
      </c>
      <c r="W17" t="s">
        <v>241</v>
      </c>
      <c r="X17" t="s">
        <v>232</v>
      </c>
    </row>
    <row r="18" spans="1:24" x14ac:dyDescent="0.3">
      <c r="A18">
        <v>67</v>
      </c>
      <c r="B18" t="str">
        <f>HYPERLINK("https://imapinvasives.natureserve.org/imap/services/page/Presence/1417261.html", "View")</f>
        <v>View</v>
      </c>
      <c r="C18">
        <v>1417261</v>
      </c>
      <c r="D18">
        <v>1430909</v>
      </c>
      <c r="E18" t="str">
        <f>HYPERLINK("http://imap3images.s3-website-us-east-1.amazonaws.com/1430909/p/imap_app_photo_1720636518807.jpg", "View")</f>
        <v>View</v>
      </c>
      <c r="F18" t="s">
        <v>94</v>
      </c>
      <c r="G18" t="s">
        <v>95</v>
      </c>
      <c r="H18">
        <v>58727</v>
      </c>
      <c r="I18" t="str">
        <f t="shared" si="1"/>
        <v>View</v>
      </c>
      <c r="J18" t="s">
        <v>94</v>
      </c>
      <c r="K18" t="s">
        <v>99</v>
      </c>
      <c r="L18">
        <v>58727</v>
      </c>
      <c r="M18">
        <v>79.959999999999994</v>
      </c>
      <c r="N18">
        <v>99.68</v>
      </c>
      <c r="O18">
        <v>1</v>
      </c>
      <c r="P18" t="s">
        <v>25</v>
      </c>
      <c r="Q18" t="s">
        <v>48</v>
      </c>
      <c r="R18">
        <v>90.06</v>
      </c>
      <c r="S18">
        <v>36.549999999999997</v>
      </c>
      <c r="T18" t="s">
        <v>28</v>
      </c>
      <c r="U18" t="s">
        <v>28</v>
      </c>
      <c r="V18" t="s">
        <v>34</v>
      </c>
      <c r="W18" t="s">
        <v>241</v>
      </c>
      <c r="X18" t="s">
        <v>232</v>
      </c>
    </row>
    <row r="19" spans="1:24" x14ac:dyDescent="0.3">
      <c r="A19">
        <v>68</v>
      </c>
      <c r="B19" t="str">
        <f>HYPERLINK("https://imapinvasives.natureserve.org/imap/services/page/Presence/1444125.html", "View")</f>
        <v>View</v>
      </c>
      <c r="C19">
        <v>1444125</v>
      </c>
      <c r="D19">
        <v>1458778</v>
      </c>
      <c r="E19" t="str">
        <f>HYPERLINK("http://imap3images.s3-website-us-east-1.amazonaws.com/1458778/p/imap_app_photo_1725538814884.jpg", "View")</f>
        <v>View</v>
      </c>
      <c r="F19" t="s">
        <v>94</v>
      </c>
      <c r="G19" t="s">
        <v>95</v>
      </c>
      <c r="H19">
        <v>58727</v>
      </c>
      <c r="I19" t="str">
        <f t="shared" si="1"/>
        <v>View</v>
      </c>
      <c r="J19" t="s">
        <v>94</v>
      </c>
      <c r="K19" t="s">
        <v>99</v>
      </c>
      <c r="L19">
        <v>58727</v>
      </c>
      <c r="M19">
        <v>79.959999999999994</v>
      </c>
      <c r="N19">
        <v>99.97</v>
      </c>
      <c r="O19">
        <v>1</v>
      </c>
      <c r="P19" t="s">
        <v>25</v>
      </c>
      <c r="Q19" t="s">
        <v>48</v>
      </c>
      <c r="R19">
        <v>90.06</v>
      </c>
      <c r="S19">
        <v>36.549999999999997</v>
      </c>
      <c r="T19" t="s">
        <v>28</v>
      </c>
      <c r="U19" t="s">
        <v>28</v>
      </c>
      <c r="V19" t="s">
        <v>34</v>
      </c>
      <c r="W19" t="s">
        <v>241</v>
      </c>
      <c r="X19" t="s">
        <v>232</v>
      </c>
    </row>
    <row r="20" spans="1:24" x14ac:dyDescent="0.3">
      <c r="A20">
        <v>69</v>
      </c>
      <c r="B20" t="str">
        <f>HYPERLINK("https://imapinvasives.natureserve.org/imap/services/page/Presence/1157735.html", "View")</f>
        <v>View</v>
      </c>
      <c r="C20">
        <v>1157735</v>
      </c>
      <c r="D20">
        <v>1164788</v>
      </c>
      <c r="E20" t="str">
        <f>HYPERLINK("http://imap3images.s3-website-us-east-1.amazonaws.com/1164788/p/imap_app_photo_1628702023291.jpg", "View")</f>
        <v>View</v>
      </c>
      <c r="F20" t="s">
        <v>94</v>
      </c>
      <c r="G20" t="s">
        <v>95</v>
      </c>
      <c r="H20">
        <v>58727</v>
      </c>
      <c r="I20" t="str">
        <f t="shared" si="1"/>
        <v>View</v>
      </c>
      <c r="J20" t="s">
        <v>94</v>
      </c>
      <c r="K20" t="s">
        <v>99</v>
      </c>
      <c r="L20">
        <v>58727</v>
      </c>
      <c r="M20">
        <v>59.88</v>
      </c>
      <c r="N20">
        <v>99.56</v>
      </c>
      <c r="O20">
        <v>1</v>
      </c>
      <c r="P20" t="s">
        <v>25</v>
      </c>
      <c r="Q20" t="s">
        <v>48</v>
      </c>
      <c r="R20">
        <v>90.06</v>
      </c>
      <c r="S20">
        <v>36.549999999999997</v>
      </c>
      <c r="T20" t="s">
        <v>28</v>
      </c>
      <c r="U20" t="s">
        <v>28</v>
      </c>
      <c r="V20" t="s">
        <v>34</v>
      </c>
      <c r="W20" t="s">
        <v>241</v>
      </c>
      <c r="X20" t="s">
        <v>232</v>
      </c>
    </row>
    <row r="21" spans="1:24" x14ac:dyDescent="0.3">
      <c r="A21">
        <v>72</v>
      </c>
      <c r="B21" t="str">
        <f>HYPERLINK("https://imapinvasives.natureserve.org/imap/services/page/Presence/1410146.html", "View")</f>
        <v>View</v>
      </c>
      <c r="C21">
        <v>1410146</v>
      </c>
      <c r="D21">
        <v>1422595</v>
      </c>
      <c r="E21" t="str">
        <f>HYPERLINK("http://imap3images.s3-website-us-east-1.amazonaws.com/1422595/p/imap_app_photo_1717418034476.jpg", "View")</f>
        <v>View</v>
      </c>
      <c r="F21" t="s">
        <v>94</v>
      </c>
      <c r="G21" t="s">
        <v>95</v>
      </c>
      <c r="H21">
        <v>58727</v>
      </c>
      <c r="I21" t="str">
        <f t="shared" si="1"/>
        <v>View</v>
      </c>
      <c r="J21" t="s">
        <v>94</v>
      </c>
      <c r="K21" t="s">
        <v>99</v>
      </c>
      <c r="L21">
        <v>58727</v>
      </c>
      <c r="M21">
        <v>16.43</v>
      </c>
      <c r="N21">
        <v>93.77</v>
      </c>
      <c r="O21">
        <v>1</v>
      </c>
      <c r="P21" t="s">
        <v>25</v>
      </c>
      <c r="Q21" t="s">
        <v>48</v>
      </c>
      <c r="R21">
        <v>90.06</v>
      </c>
      <c r="S21">
        <v>36.549999999999997</v>
      </c>
      <c r="T21" t="s">
        <v>28</v>
      </c>
      <c r="U21" t="s">
        <v>27</v>
      </c>
      <c r="V21" t="s">
        <v>34</v>
      </c>
      <c r="W21" t="s">
        <v>241</v>
      </c>
      <c r="X21" t="s">
        <v>232</v>
      </c>
    </row>
    <row r="22" spans="1:24" x14ac:dyDescent="0.3">
      <c r="A22">
        <v>73</v>
      </c>
      <c r="B22" t="str">
        <f>HYPERLINK("https://imapinvasives.natureserve.org/imap/services/page/Presence/1351791.html", "View")</f>
        <v>View</v>
      </c>
      <c r="C22">
        <v>1351791</v>
      </c>
      <c r="D22">
        <v>1369144</v>
      </c>
      <c r="E22" t="str">
        <f>HYPERLINK("http://imap3images.s3-website-us-east-1.amazonaws.com/1369144/p/imap_app_photo_1693907916944.jpg", "View")</f>
        <v>View</v>
      </c>
      <c r="F22" t="s">
        <v>94</v>
      </c>
      <c r="G22" t="s">
        <v>95</v>
      </c>
      <c r="H22">
        <v>58727</v>
      </c>
      <c r="I22" t="str">
        <f t="shared" si="1"/>
        <v>View</v>
      </c>
      <c r="J22" t="s">
        <v>94</v>
      </c>
      <c r="K22" t="s">
        <v>99</v>
      </c>
      <c r="L22">
        <v>58727</v>
      </c>
      <c r="M22">
        <v>18.97</v>
      </c>
      <c r="N22">
        <v>99.81</v>
      </c>
      <c r="O22">
        <v>1</v>
      </c>
      <c r="P22" t="s">
        <v>25</v>
      </c>
      <c r="Q22" t="s">
        <v>48</v>
      </c>
      <c r="R22">
        <v>90.06</v>
      </c>
      <c r="S22">
        <v>36.549999999999997</v>
      </c>
      <c r="T22" t="s">
        <v>28</v>
      </c>
      <c r="U22" t="s">
        <v>27</v>
      </c>
      <c r="V22" t="s">
        <v>34</v>
      </c>
      <c r="W22" t="s">
        <v>241</v>
      </c>
      <c r="X22" t="s">
        <v>232</v>
      </c>
    </row>
    <row r="23" spans="1:24" x14ac:dyDescent="0.3">
      <c r="A23">
        <v>75</v>
      </c>
      <c r="B23" t="str">
        <f>HYPERLINK("https://imapinvasives.natureserve.org/imap/services/page/Presence/1163662.html", "View")</f>
        <v>View</v>
      </c>
      <c r="C23">
        <v>1163662</v>
      </c>
      <c r="D23">
        <v>1170879</v>
      </c>
      <c r="E23" t="str">
        <f>HYPERLINK("http://imap3images.s3-website-us-east-1.amazonaws.com/1170879/p/imap_app_photo_1631713691291.jpg", "View")</f>
        <v>View</v>
      </c>
      <c r="F23" t="s">
        <v>94</v>
      </c>
      <c r="G23" t="s">
        <v>95</v>
      </c>
      <c r="H23">
        <v>58727</v>
      </c>
      <c r="I23" t="str">
        <f t="shared" si="1"/>
        <v>View</v>
      </c>
      <c r="J23" t="s">
        <v>94</v>
      </c>
      <c r="K23" t="s">
        <v>99</v>
      </c>
      <c r="L23">
        <v>58727</v>
      </c>
      <c r="M23">
        <v>82.99</v>
      </c>
      <c r="N23">
        <v>93.15</v>
      </c>
      <c r="O23">
        <v>1</v>
      </c>
      <c r="P23" t="s">
        <v>25</v>
      </c>
      <c r="Q23" t="s">
        <v>48</v>
      </c>
      <c r="R23">
        <v>90.06</v>
      </c>
      <c r="S23">
        <v>36.549999999999997</v>
      </c>
      <c r="T23" t="s">
        <v>28</v>
      </c>
      <c r="U23" t="s">
        <v>28</v>
      </c>
      <c r="V23" t="s">
        <v>34</v>
      </c>
      <c r="W23" t="s">
        <v>241</v>
      </c>
      <c r="X23" t="s">
        <v>232</v>
      </c>
    </row>
    <row r="24" spans="1:24" x14ac:dyDescent="0.3">
      <c r="A24">
        <v>77</v>
      </c>
      <c r="B24" t="str">
        <f>HYPERLINK("https://imapinvasives.natureserve.org/imap/services/page/Presence/1388756.html", "View")</f>
        <v>View</v>
      </c>
      <c r="C24">
        <v>1388756</v>
      </c>
      <c r="D24">
        <v>1406856</v>
      </c>
      <c r="E24" t="str">
        <f>HYPERLINK("http://imap3images.s3-website-us-east-1.amazonaws.com/1406856/p/imap_app_photo_1708186343129.jpg", "View")</f>
        <v>View</v>
      </c>
      <c r="F24" t="s">
        <v>94</v>
      </c>
      <c r="G24" t="s">
        <v>95</v>
      </c>
      <c r="H24">
        <v>58727</v>
      </c>
      <c r="I24" t="str">
        <f t="shared" si="1"/>
        <v>View</v>
      </c>
      <c r="J24" t="s">
        <v>94</v>
      </c>
      <c r="K24" t="s">
        <v>99</v>
      </c>
      <c r="L24">
        <v>58727</v>
      </c>
      <c r="M24">
        <v>28.41</v>
      </c>
      <c r="N24">
        <v>97.22</v>
      </c>
      <c r="O24">
        <v>1</v>
      </c>
      <c r="P24" t="s">
        <v>25</v>
      </c>
      <c r="Q24" t="s">
        <v>48</v>
      </c>
      <c r="R24">
        <v>90.06</v>
      </c>
      <c r="S24">
        <v>36.549999999999997</v>
      </c>
      <c r="T24" t="s">
        <v>28</v>
      </c>
      <c r="U24" t="s">
        <v>27</v>
      </c>
      <c r="V24" t="s">
        <v>34</v>
      </c>
      <c r="W24" t="s">
        <v>241</v>
      </c>
      <c r="X24" t="s">
        <v>232</v>
      </c>
    </row>
    <row r="25" spans="1:24" x14ac:dyDescent="0.3">
      <c r="A25">
        <v>78</v>
      </c>
      <c r="B25" t="str">
        <f>HYPERLINK("https://imapinvasives.natureserve.org/imap/services/page/Presence/1443092.html", "View")</f>
        <v>View</v>
      </c>
      <c r="C25">
        <v>1443092</v>
      </c>
      <c r="D25">
        <v>1457709</v>
      </c>
      <c r="E25" t="str">
        <f>HYPERLINK("http://imap3images.s3-website-us-east-1.amazonaws.com/1457709/p/imap_app_photo_1724959294237.jpg", "View")</f>
        <v>View</v>
      </c>
      <c r="F25" t="s">
        <v>94</v>
      </c>
      <c r="G25" t="s">
        <v>95</v>
      </c>
      <c r="H25">
        <v>58727</v>
      </c>
      <c r="I25" t="str">
        <f t="shared" si="1"/>
        <v>View</v>
      </c>
      <c r="J25" t="s">
        <v>94</v>
      </c>
      <c r="K25" t="s">
        <v>99</v>
      </c>
      <c r="L25">
        <v>58727</v>
      </c>
      <c r="M25">
        <v>79.959999999999994</v>
      </c>
      <c r="N25">
        <v>99.28</v>
      </c>
      <c r="O25">
        <v>1</v>
      </c>
      <c r="P25" t="s">
        <v>25</v>
      </c>
      <c r="Q25" t="s">
        <v>48</v>
      </c>
      <c r="R25">
        <v>90.06</v>
      </c>
      <c r="S25">
        <v>36.549999999999997</v>
      </c>
      <c r="T25" t="s">
        <v>28</v>
      </c>
      <c r="U25" t="s">
        <v>28</v>
      </c>
      <c r="V25" t="s">
        <v>34</v>
      </c>
      <c r="W25" t="s">
        <v>241</v>
      </c>
      <c r="X25" t="s">
        <v>232</v>
      </c>
    </row>
    <row r="26" spans="1:24" x14ac:dyDescent="0.3">
      <c r="A26">
        <v>80</v>
      </c>
      <c r="B26" t="str">
        <f>HYPERLINK("https://imapinvasives.natureserve.org/imap/services/page/Presence/1434743.html", "View")</f>
        <v>View</v>
      </c>
      <c r="C26">
        <v>1434743</v>
      </c>
      <c r="D26">
        <v>1448422</v>
      </c>
      <c r="E26" t="str">
        <f>HYPERLINK("http://imap3images.s3-website-us-east-1.amazonaws.com/1448422/p/imap_app_photo_1721157838869.jpg", "View")</f>
        <v>View</v>
      </c>
      <c r="F26" t="s">
        <v>116</v>
      </c>
      <c r="G26" t="s">
        <v>117</v>
      </c>
      <c r="H26">
        <v>75758</v>
      </c>
      <c r="I26" t="str">
        <f>HYPERLINK("https://www.inaturalist.org/taxa/75758-Berberis-vulgaris", "View")</f>
        <v>View</v>
      </c>
      <c r="J26" t="s">
        <v>116</v>
      </c>
      <c r="K26" t="s">
        <v>118</v>
      </c>
      <c r="L26">
        <v>75758</v>
      </c>
      <c r="M26">
        <v>5.17</v>
      </c>
      <c r="N26">
        <v>91.04</v>
      </c>
      <c r="O26">
        <v>1</v>
      </c>
      <c r="P26" t="s">
        <v>25</v>
      </c>
      <c r="Q26" t="s">
        <v>48</v>
      </c>
      <c r="R26">
        <v>77.62</v>
      </c>
      <c r="S26">
        <v>36.5</v>
      </c>
      <c r="T26" t="s">
        <v>28</v>
      </c>
      <c r="U26" t="s">
        <v>27</v>
      </c>
      <c r="V26" t="s">
        <v>34</v>
      </c>
      <c r="W26" t="s">
        <v>241</v>
      </c>
      <c r="X26" t="s">
        <v>232</v>
      </c>
    </row>
    <row r="27" spans="1:24" x14ac:dyDescent="0.3">
      <c r="A27">
        <v>81</v>
      </c>
      <c r="B27" t="str">
        <f>HYPERLINK("https://imapinvasives.natureserve.org/imap/services/page/Presence/1444128.html", "View")</f>
        <v>View</v>
      </c>
      <c r="C27">
        <v>1444128</v>
      </c>
      <c r="D27">
        <v>1458781</v>
      </c>
      <c r="E27" t="str">
        <f>HYPERLINK("http://imap3images.s3-website-us-east-1.amazonaws.com/1458781/p/imap_app_photo_1725538828977.jpg", "View")</f>
        <v>View</v>
      </c>
      <c r="F27" t="s">
        <v>94</v>
      </c>
      <c r="G27" t="s">
        <v>95</v>
      </c>
      <c r="H27">
        <v>58727</v>
      </c>
      <c r="I27" t="str">
        <f>HYPERLINK("https://www.inaturalist.org/taxa/58727-Berberis-thunbergii", "View")</f>
        <v>View</v>
      </c>
      <c r="J27" t="s">
        <v>94</v>
      </c>
      <c r="K27" t="s">
        <v>99</v>
      </c>
      <c r="L27">
        <v>58727</v>
      </c>
      <c r="M27">
        <v>79.959999999999994</v>
      </c>
      <c r="N27">
        <v>99.96</v>
      </c>
      <c r="O27">
        <v>1</v>
      </c>
      <c r="P27" t="s">
        <v>25</v>
      </c>
      <c r="Q27" t="s">
        <v>48</v>
      </c>
      <c r="R27">
        <v>90.06</v>
      </c>
      <c r="S27">
        <v>36.549999999999997</v>
      </c>
      <c r="T27" t="s">
        <v>28</v>
      </c>
      <c r="U27" t="s">
        <v>28</v>
      </c>
      <c r="V27" t="s">
        <v>34</v>
      </c>
      <c r="W27" t="s">
        <v>241</v>
      </c>
      <c r="X27" t="s">
        <v>232</v>
      </c>
    </row>
    <row r="28" spans="1:24" x14ac:dyDescent="0.3">
      <c r="A28">
        <v>82</v>
      </c>
      <c r="B28" t="str">
        <f>HYPERLINK("https://imapinvasives.natureserve.org/imap/services/page/Presence/1443080.html", "View")</f>
        <v>View</v>
      </c>
      <c r="C28">
        <v>1443080</v>
      </c>
      <c r="D28">
        <v>1457697</v>
      </c>
      <c r="E28" t="str">
        <f>HYPERLINK("http://imap3images.s3-website-us-east-1.amazonaws.com/1457697/p/imap_app_photo_1724953666588.jpg", "View")</f>
        <v>View</v>
      </c>
      <c r="F28" t="s">
        <v>94</v>
      </c>
      <c r="G28" t="s">
        <v>95</v>
      </c>
      <c r="H28">
        <v>58727</v>
      </c>
      <c r="I28" t="str">
        <f>HYPERLINK("https://www.inaturalist.org/taxa/58727-Berberis-thunbergii", "View")</f>
        <v>View</v>
      </c>
      <c r="J28" t="s">
        <v>94</v>
      </c>
      <c r="K28" t="s">
        <v>99</v>
      </c>
      <c r="L28">
        <v>58727</v>
      </c>
      <c r="M28">
        <v>79.959999999999994</v>
      </c>
      <c r="N28">
        <v>99.95</v>
      </c>
      <c r="O28">
        <v>1</v>
      </c>
      <c r="P28" t="s">
        <v>25</v>
      </c>
      <c r="Q28" t="s">
        <v>48</v>
      </c>
      <c r="R28">
        <v>90.06</v>
      </c>
      <c r="S28">
        <v>36.549999999999997</v>
      </c>
      <c r="T28" t="s">
        <v>28</v>
      </c>
      <c r="U28" t="s">
        <v>28</v>
      </c>
      <c r="V28" t="s">
        <v>34</v>
      </c>
      <c r="W28" t="s">
        <v>241</v>
      </c>
      <c r="X28" t="s">
        <v>232</v>
      </c>
    </row>
    <row r="29" spans="1:24" x14ac:dyDescent="0.3">
      <c r="A29">
        <v>83</v>
      </c>
      <c r="B29" t="str">
        <f>HYPERLINK("https://imapinvasives.natureserve.org/imap/services/page/Presence/1390094.html", "View")</f>
        <v>View</v>
      </c>
      <c r="C29">
        <v>1390094</v>
      </c>
      <c r="D29">
        <v>1408200</v>
      </c>
      <c r="E29" t="str">
        <f>HYPERLINK("http://imap3images.s3-website-us-east-1.amazonaws.com/1408200/p/2024-02-28_(10).JPG", "View")</f>
        <v>View</v>
      </c>
      <c r="F29" t="s">
        <v>94</v>
      </c>
      <c r="G29" t="s">
        <v>95</v>
      </c>
      <c r="H29">
        <v>58727</v>
      </c>
      <c r="I29" t="str">
        <f>HYPERLINK("https://www.inaturalist.org/taxa/58727-Berberis-thunbergii", "View")</f>
        <v>View</v>
      </c>
      <c r="J29" t="s">
        <v>94</v>
      </c>
      <c r="K29" t="s">
        <v>99</v>
      </c>
      <c r="L29">
        <v>58727</v>
      </c>
      <c r="M29">
        <v>21.82</v>
      </c>
      <c r="N29">
        <v>98.07</v>
      </c>
      <c r="O29">
        <v>1</v>
      </c>
      <c r="P29" t="s">
        <v>25</v>
      </c>
      <c r="Q29" t="s">
        <v>48</v>
      </c>
      <c r="R29">
        <v>90.06</v>
      </c>
      <c r="S29">
        <v>36.549999999999997</v>
      </c>
      <c r="T29" t="s">
        <v>28</v>
      </c>
      <c r="U29" t="s">
        <v>27</v>
      </c>
      <c r="V29" t="s">
        <v>34</v>
      </c>
      <c r="W29" t="s">
        <v>241</v>
      </c>
      <c r="X29" t="s">
        <v>232</v>
      </c>
    </row>
    <row r="30" spans="1:24" x14ac:dyDescent="0.3">
      <c r="A30">
        <v>85</v>
      </c>
      <c r="B30" t="str">
        <f>HYPERLINK("https://imapinvasives.natureserve.org/imap/services/page/Presence/1390065.html", "View")</f>
        <v>View</v>
      </c>
      <c r="C30">
        <v>1390065</v>
      </c>
      <c r="D30">
        <v>1408169</v>
      </c>
      <c r="E30" t="str">
        <f>HYPERLINK("http://imap3images.s3-website-us-east-1.amazonaws.com/1408169/p/imap_app_photo_1708899315588.jpg", "View")</f>
        <v>View</v>
      </c>
      <c r="F30" t="s">
        <v>94</v>
      </c>
      <c r="G30" t="s">
        <v>95</v>
      </c>
      <c r="H30">
        <v>58727</v>
      </c>
      <c r="I30" t="str">
        <f>HYPERLINK("https://www.inaturalist.org/taxa/58727-Berberis-thunbergii", "View")</f>
        <v>View</v>
      </c>
      <c r="J30" t="s">
        <v>94</v>
      </c>
      <c r="K30" t="s">
        <v>99</v>
      </c>
      <c r="L30">
        <v>58727</v>
      </c>
      <c r="M30">
        <v>18.97</v>
      </c>
      <c r="N30">
        <v>93.47</v>
      </c>
      <c r="O30">
        <v>1</v>
      </c>
      <c r="P30" t="s">
        <v>25</v>
      </c>
      <c r="Q30" t="s">
        <v>48</v>
      </c>
      <c r="R30">
        <v>90.06</v>
      </c>
      <c r="S30">
        <v>36.549999999999997</v>
      </c>
      <c r="T30" t="s">
        <v>28</v>
      </c>
      <c r="U30" t="s">
        <v>27</v>
      </c>
      <c r="V30" t="s">
        <v>34</v>
      </c>
      <c r="W30" t="s">
        <v>241</v>
      </c>
      <c r="X30" t="s">
        <v>232</v>
      </c>
    </row>
    <row r="31" spans="1:24" x14ac:dyDescent="0.3">
      <c r="A31">
        <v>88</v>
      </c>
      <c r="B31" t="str">
        <f>HYPERLINK("https://imapinvasives.natureserve.org/imap/services/page/Presence/1443571.html", "View")</f>
        <v>View</v>
      </c>
      <c r="C31">
        <v>1443571</v>
      </c>
      <c r="D31">
        <v>1458204</v>
      </c>
      <c r="E31" t="str">
        <f>HYPERLINK("http://imap3images.s3-website-us-east-1.amazonaws.com/1458204/p/imap_app_photo_1725059319113.jpg", "View")</f>
        <v>View</v>
      </c>
      <c r="F31" t="s">
        <v>94</v>
      </c>
      <c r="G31" t="s">
        <v>95</v>
      </c>
      <c r="H31">
        <v>58727</v>
      </c>
      <c r="I31" t="str">
        <f>HYPERLINK("https://www.inaturalist.org/taxa/58727-Berberis-thunbergii", "View")</f>
        <v>View</v>
      </c>
      <c r="J31" t="s">
        <v>94</v>
      </c>
      <c r="K31" t="s">
        <v>99</v>
      </c>
      <c r="L31">
        <v>58727</v>
      </c>
      <c r="M31">
        <v>59.88</v>
      </c>
      <c r="N31">
        <v>99.92</v>
      </c>
      <c r="O31">
        <v>1</v>
      </c>
      <c r="P31" t="s">
        <v>25</v>
      </c>
      <c r="Q31" t="s">
        <v>48</v>
      </c>
      <c r="R31">
        <v>90.06</v>
      </c>
      <c r="S31">
        <v>36.549999999999997</v>
      </c>
      <c r="T31" t="s">
        <v>28</v>
      </c>
      <c r="U31" t="s">
        <v>28</v>
      </c>
      <c r="V31" t="s">
        <v>34</v>
      </c>
      <c r="W31" t="s">
        <v>241</v>
      </c>
      <c r="X31" t="s">
        <v>232</v>
      </c>
    </row>
    <row r="32" spans="1:24" x14ac:dyDescent="0.3">
      <c r="A32">
        <v>90</v>
      </c>
      <c r="B32" t="str">
        <f>HYPERLINK("https://imapinvasives.natureserve.org/imap/services/page/Presence/1271832.html", "View")</f>
        <v>View</v>
      </c>
      <c r="C32">
        <v>1271832</v>
      </c>
      <c r="D32">
        <v>1280838</v>
      </c>
      <c r="E32" t="str">
        <f>HYPERLINK("http://imap3images.s3-website-us-east-1.amazonaws.com/1280838/p/Photo2-20220510-144108.jpg", "View")</f>
        <v>View</v>
      </c>
      <c r="F32" t="s">
        <v>78</v>
      </c>
      <c r="G32" t="s">
        <v>79</v>
      </c>
      <c r="H32">
        <v>55882</v>
      </c>
      <c r="I32" t="str">
        <f>HYPERLINK("https://www.inaturalist.org/taxa/55882-Hedera-helix", "View")</f>
        <v>View</v>
      </c>
      <c r="J32" t="s">
        <v>78</v>
      </c>
      <c r="K32" t="s">
        <v>121</v>
      </c>
      <c r="L32">
        <v>55882</v>
      </c>
      <c r="M32">
        <v>77.680000000000007</v>
      </c>
      <c r="N32">
        <v>93.69</v>
      </c>
      <c r="O32">
        <v>1</v>
      </c>
      <c r="P32" t="s">
        <v>25</v>
      </c>
      <c r="Q32" t="s">
        <v>65</v>
      </c>
      <c r="R32">
        <v>77.62</v>
      </c>
      <c r="S32">
        <v>36.5</v>
      </c>
      <c r="T32" t="s">
        <v>28</v>
      </c>
      <c r="U32" t="s">
        <v>28</v>
      </c>
      <c r="V32" t="s">
        <v>34</v>
      </c>
      <c r="W32" t="s">
        <v>241</v>
      </c>
      <c r="X32" t="s">
        <v>232</v>
      </c>
    </row>
    <row r="33" spans="1:24" x14ac:dyDescent="0.3">
      <c r="A33">
        <v>94</v>
      </c>
      <c r="B33" s="2" t="str">
        <f>HYPERLINK("https://imapinvasives.natureserve.org/imap/services/page/Presence/1146170.html", "View")</f>
        <v>View</v>
      </c>
      <c r="C33">
        <v>1146170</v>
      </c>
      <c r="D33">
        <v>1152758</v>
      </c>
      <c r="E33" t="str">
        <f>HYPERLINK("http://imap3images.s3-website-us-east-1.amazonaws.com/1152758/p/imap_app_photo_1624034448585.jpg", "View")</f>
        <v>View</v>
      </c>
      <c r="F33" t="s">
        <v>104</v>
      </c>
      <c r="G33" t="s">
        <v>126</v>
      </c>
      <c r="H33">
        <v>64540</v>
      </c>
      <c r="I33" t="str">
        <f t="shared" ref="I33:I47" si="2">HYPERLINK("https://www.inaturalist.org/taxa/64540-Celastrus-orbiculatus", "View")</f>
        <v>View</v>
      </c>
      <c r="J33" t="s">
        <v>104</v>
      </c>
      <c r="K33" t="s">
        <v>105</v>
      </c>
      <c r="L33">
        <v>64540</v>
      </c>
      <c r="M33">
        <v>20.72</v>
      </c>
      <c r="N33">
        <v>97.57</v>
      </c>
      <c r="O33">
        <v>1</v>
      </c>
      <c r="P33" t="s">
        <v>25</v>
      </c>
      <c r="Q33" t="s">
        <v>48</v>
      </c>
      <c r="R33">
        <v>65.45</v>
      </c>
      <c r="S33">
        <v>33.65</v>
      </c>
      <c r="T33" t="s">
        <v>28</v>
      </c>
      <c r="U33" t="s">
        <v>27</v>
      </c>
      <c r="V33" t="s">
        <v>34</v>
      </c>
      <c r="W33" t="s">
        <v>241</v>
      </c>
      <c r="X33" t="s">
        <v>232</v>
      </c>
    </row>
    <row r="34" spans="1:24" x14ac:dyDescent="0.3">
      <c r="A34">
        <v>97</v>
      </c>
      <c r="B34" t="str">
        <f>HYPERLINK("https://imapinvasives.natureserve.org/imap/services/page/Presence/1442164.html", "View")</f>
        <v>View</v>
      </c>
      <c r="C34">
        <v>1442164</v>
      </c>
      <c r="D34">
        <v>1456698</v>
      </c>
      <c r="E34" t="str">
        <f>HYPERLINK("http://imap3images.s3-website-us-east-1.amazonaws.com/1456698/p/imap_app_photo_1724414928279.jpg", "View")</f>
        <v>View</v>
      </c>
      <c r="F34" t="s">
        <v>104</v>
      </c>
      <c r="G34" t="s">
        <v>126</v>
      </c>
      <c r="H34">
        <v>64540</v>
      </c>
      <c r="I34" t="str">
        <f t="shared" si="2"/>
        <v>View</v>
      </c>
      <c r="J34" t="s">
        <v>104</v>
      </c>
      <c r="K34" t="s">
        <v>105</v>
      </c>
      <c r="L34">
        <v>64540</v>
      </c>
      <c r="M34">
        <v>82.08</v>
      </c>
      <c r="N34">
        <v>95.9</v>
      </c>
      <c r="O34">
        <v>1</v>
      </c>
      <c r="P34" t="s">
        <v>25</v>
      </c>
      <c r="Q34" t="s">
        <v>48</v>
      </c>
      <c r="R34">
        <v>65.45</v>
      </c>
      <c r="S34">
        <v>33.65</v>
      </c>
      <c r="T34" t="s">
        <v>28</v>
      </c>
      <c r="U34" t="s">
        <v>28</v>
      </c>
      <c r="V34" t="s">
        <v>34</v>
      </c>
      <c r="W34" t="s">
        <v>241</v>
      </c>
      <c r="X34" t="s">
        <v>232</v>
      </c>
    </row>
    <row r="35" spans="1:24" x14ac:dyDescent="0.3">
      <c r="A35">
        <v>99</v>
      </c>
      <c r="B35" t="str">
        <f>HYPERLINK("https://imapinvasives.natureserve.org/imap/services/page/Presence/1042201.html", "View")</f>
        <v>View</v>
      </c>
      <c r="C35">
        <v>1042201</v>
      </c>
      <c r="D35">
        <v>1046042</v>
      </c>
      <c r="E35" t="str">
        <f>HYPERLINK("http://imap3images.s3-website-us-east-1.amazonaws.com/1046042/p/imap_app_photo_1581965101470.jpg", "View")</f>
        <v>View</v>
      </c>
      <c r="F35" t="s">
        <v>104</v>
      </c>
      <c r="G35" t="s">
        <v>126</v>
      </c>
      <c r="H35">
        <v>64540</v>
      </c>
      <c r="I35" t="str">
        <f t="shared" si="2"/>
        <v>View</v>
      </c>
      <c r="J35" t="s">
        <v>104</v>
      </c>
      <c r="K35" t="s">
        <v>105</v>
      </c>
      <c r="L35">
        <v>64540</v>
      </c>
      <c r="M35">
        <v>74.790000000000006</v>
      </c>
      <c r="N35">
        <v>96.9</v>
      </c>
      <c r="O35">
        <v>1</v>
      </c>
      <c r="P35" t="s">
        <v>25</v>
      </c>
      <c r="Q35" t="s">
        <v>48</v>
      </c>
      <c r="R35">
        <v>65.45</v>
      </c>
      <c r="S35">
        <v>33.65</v>
      </c>
      <c r="T35" t="s">
        <v>28</v>
      </c>
      <c r="U35" t="s">
        <v>28</v>
      </c>
      <c r="V35" t="s">
        <v>34</v>
      </c>
      <c r="W35" t="s">
        <v>241</v>
      </c>
      <c r="X35" t="s">
        <v>232</v>
      </c>
    </row>
    <row r="36" spans="1:24" x14ac:dyDescent="0.3">
      <c r="A36">
        <v>100</v>
      </c>
      <c r="B36" t="str">
        <f>HYPERLINK("https://imapinvasives.natureserve.org/imap/services/page/Presence/1338922.html", "View")</f>
        <v>View</v>
      </c>
      <c r="C36">
        <v>1338922</v>
      </c>
      <c r="D36">
        <v>1353756</v>
      </c>
      <c r="E36" t="str">
        <f>HYPERLINK("http://imap3images.s3-website-us-east-1.amazonaws.com/1353756/p/imap_app_photo_1688654801266.jpg", "View")</f>
        <v>View</v>
      </c>
      <c r="F36" t="s">
        <v>104</v>
      </c>
      <c r="G36" t="s">
        <v>126</v>
      </c>
      <c r="H36">
        <v>64540</v>
      </c>
      <c r="I36" t="str">
        <f t="shared" si="2"/>
        <v>View</v>
      </c>
      <c r="J36" t="s">
        <v>104</v>
      </c>
      <c r="K36" t="s">
        <v>105</v>
      </c>
      <c r="L36">
        <v>64540</v>
      </c>
      <c r="M36">
        <v>20.72</v>
      </c>
      <c r="N36">
        <v>69.599999999999994</v>
      </c>
      <c r="O36">
        <v>1</v>
      </c>
      <c r="P36" t="s">
        <v>25</v>
      </c>
      <c r="Q36" t="s">
        <v>48</v>
      </c>
      <c r="R36">
        <v>65.45</v>
      </c>
      <c r="S36">
        <v>33.65</v>
      </c>
      <c r="T36" t="s">
        <v>28</v>
      </c>
      <c r="U36" t="s">
        <v>27</v>
      </c>
      <c r="V36" t="s">
        <v>34</v>
      </c>
      <c r="W36" t="s">
        <v>241</v>
      </c>
      <c r="X36" t="s">
        <v>232</v>
      </c>
    </row>
    <row r="37" spans="1:24" x14ac:dyDescent="0.3">
      <c r="A37">
        <v>102</v>
      </c>
      <c r="B37" t="str">
        <f>HYPERLINK("https://imapinvasives.natureserve.org/imap/services/page/Presence/1438606.html", "View")</f>
        <v>View</v>
      </c>
      <c r="C37">
        <v>1438606</v>
      </c>
      <c r="D37">
        <v>1452861</v>
      </c>
      <c r="E37" t="str">
        <f>HYPERLINK("http://imap3images.s3-website-us-east-1.amazonaws.com/1452861/p/imap_app_photo_1722622313675.jpg", "View")</f>
        <v>View</v>
      </c>
      <c r="F37" t="s">
        <v>104</v>
      </c>
      <c r="G37" t="s">
        <v>126</v>
      </c>
      <c r="H37">
        <v>64540</v>
      </c>
      <c r="I37" t="str">
        <f t="shared" si="2"/>
        <v>View</v>
      </c>
      <c r="J37" t="s">
        <v>104</v>
      </c>
      <c r="K37" t="s">
        <v>105</v>
      </c>
      <c r="L37">
        <v>64540</v>
      </c>
      <c r="M37">
        <v>6.88</v>
      </c>
      <c r="N37">
        <v>99.11</v>
      </c>
      <c r="O37">
        <v>1</v>
      </c>
      <c r="P37" t="s">
        <v>25</v>
      </c>
      <c r="Q37" t="s">
        <v>48</v>
      </c>
      <c r="R37">
        <v>65.45</v>
      </c>
      <c r="S37">
        <v>33.65</v>
      </c>
      <c r="T37" t="s">
        <v>28</v>
      </c>
      <c r="U37" t="s">
        <v>27</v>
      </c>
      <c r="V37" t="s">
        <v>34</v>
      </c>
      <c r="W37" t="s">
        <v>241</v>
      </c>
      <c r="X37" t="s">
        <v>232</v>
      </c>
    </row>
    <row r="38" spans="1:24" x14ac:dyDescent="0.3">
      <c r="A38">
        <v>104</v>
      </c>
      <c r="B38" t="str">
        <f>HYPERLINK("https://imapinvasives.natureserve.org/imap/services/page/Presence/1441690.html", "View")</f>
        <v>View</v>
      </c>
      <c r="C38">
        <v>1441690</v>
      </c>
      <c r="D38">
        <v>1456174</v>
      </c>
      <c r="E38" t="str">
        <f>HYPERLINK("http://imap3images.s3-website-us-east-1.amazonaws.com/1456174/p/imap_app_photo_1724343017852.jpg", "View")</f>
        <v>View</v>
      </c>
      <c r="F38" t="s">
        <v>104</v>
      </c>
      <c r="G38" t="s">
        <v>126</v>
      </c>
      <c r="H38">
        <v>64540</v>
      </c>
      <c r="I38" t="str">
        <f t="shared" si="2"/>
        <v>View</v>
      </c>
      <c r="J38" t="s">
        <v>104</v>
      </c>
      <c r="K38" t="s">
        <v>105</v>
      </c>
      <c r="L38">
        <v>64540</v>
      </c>
      <c r="M38">
        <v>82.08</v>
      </c>
      <c r="N38">
        <v>99.26</v>
      </c>
      <c r="O38">
        <v>1</v>
      </c>
      <c r="P38" t="s">
        <v>25</v>
      </c>
      <c r="Q38" t="s">
        <v>48</v>
      </c>
      <c r="R38">
        <v>65.45</v>
      </c>
      <c r="S38">
        <v>33.65</v>
      </c>
      <c r="T38" t="s">
        <v>28</v>
      </c>
      <c r="U38" t="s">
        <v>28</v>
      </c>
      <c r="V38" t="s">
        <v>34</v>
      </c>
      <c r="W38" t="s">
        <v>241</v>
      </c>
      <c r="X38" t="s">
        <v>232</v>
      </c>
    </row>
    <row r="39" spans="1:24" x14ac:dyDescent="0.3">
      <c r="A39">
        <v>108</v>
      </c>
      <c r="B39" t="str">
        <f>HYPERLINK("https://imapinvasives.natureserve.org/imap/services/page/Presence/1411655.html", "View")</f>
        <v>View</v>
      </c>
      <c r="C39">
        <v>1411655</v>
      </c>
      <c r="D39">
        <v>1424313</v>
      </c>
      <c r="E39" t="str">
        <f>HYPERLINK("http://imap3images.s3-website-us-east-1.amazonaws.com/1424313/p/imap_app_photo_1718398441998.jpg", "View")</f>
        <v>View</v>
      </c>
      <c r="F39" t="s">
        <v>104</v>
      </c>
      <c r="G39" t="s">
        <v>126</v>
      </c>
      <c r="H39">
        <v>64540</v>
      </c>
      <c r="I39" t="str">
        <f t="shared" si="2"/>
        <v>View</v>
      </c>
      <c r="J39" t="s">
        <v>104</v>
      </c>
      <c r="K39" t="s">
        <v>105</v>
      </c>
      <c r="L39">
        <v>64540</v>
      </c>
      <c r="M39">
        <v>90</v>
      </c>
      <c r="N39">
        <v>91.35</v>
      </c>
      <c r="O39">
        <v>1</v>
      </c>
      <c r="P39" t="s">
        <v>25</v>
      </c>
      <c r="Q39" t="s">
        <v>48</v>
      </c>
      <c r="R39">
        <v>65.45</v>
      </c>
      <c r="S39">
        <v>33.65</v>
      </c>
      <c r="T39" t="s">
        <v>28</v>
      </c>
      <c r="U39" t="s">
        <v>28</v>
      </c>
      <c r="V39" t="s">
        <v>34</v>
      </c>
      <c r="W39" t="s">
        <v>241</v>
      </c>
      <c r="X39" t="s">
        <v>232</v>
      </c>
    </row>
    <row r="40" spans="1:24" x14ac:dyDescent="0.3">
      <c r="A40">
        <v>109</v>
      </c>
      <c r="B40" t="str">
        <f>HYPERLINK("https://imapinvasives.natureserve.org/imap/services/page/Presence/1298970.html", "View")</f>
        <v>View</v>
      </c>
      <c r="C40">
        <v>1298970</v>
      </c>
      <c r="D40">
        <v>1309302</v>
      </c>
      <c r="E40" t="str">
        <f>HYPERLINK("http://imap3images.s3-website-us-east-1.amazonaws.com/1309302/p/imap_app_photo_1666011529613.jpg", "View")</f>
        <v>View</v>
      </c>
      <c r="F40" t="s">
        <v>104</v>
      </c>
      <c r="G40" t="s">
        <v>126</v>
      </c>
      <c r="H40">
        <v>64540</v>
      </c>
      <c r="I40" t="str">
        <f t="shared" si="2"/>
        <v>View</v>
      </c>
      <c r="J40" t="s">
        <v>104</v>
      </c>
      <c r="K40" t="s">
        <v>105</v>
      </c>
      <c r="L40">
        <v>64540</v>
      </c>
      <c r="M40">
        <v>11.08</v>
      </c>
      <c r="N40">
        <v>76.05</v>
      </c>
      <c r="O40">
        <v>1</v>
      </c>
      <c r="P40" t="s">
        <v>25</v>
      </c>
      <c r="Q40" t="s">
        <v>48</v>
      </c>
      <c r="R40">
        <v>65.45</v>
      </c>
      <c r="S40">
        <v>33.65</v>
      </c>
      <c r="T40" t="s">
        <v>28</v>
      </c>
      <c r="U40" t="s">
        <v>27</v>
      </c>
      <c r="V40" t="s">
        <v>34</v>
      </c>
      <c r="W40" t="s">
        <v>241</v>
      </c>
      <c r="X40" t="s">
        <v>232</v>
      </c>
    </row>
    <row r="41" spans="1:24" x14ac:dyDescent="0.3">
      <c r="A41">
        <v>110</v>
      </c>
      <c r="B41" t="str">
        <f>HYPERLINK("https://imapinvasives.natureserve.org/imap/services/page/Presence/1036859.html", "View")</f>
        <v>View</v>
      </c>
      <c r="C41">
        <v>1036859</v>
      </c>
      <c r="D41">
        <v>1040152</v>
      </c>
      <c r="E41" t="str">
        <f>HYPERLINK("http://imap3images.s3-website-us-east-1.amazonaws.com/1040152/p/imap_app_photo_1572808203942.jpg", "View")</f>
        <v>View</v>
      </c>
      <c r="F41" t="s">
        <v>104</v>
      </c>
      <c r="G41" t="s">
        <v>126</v>
      </c>
      <c r="H41">
        <v>64540</v>
      </c>
      <c r="I41" t="str">
        <f t="shared" si="2"/>
        <v>View</v>
      </c>
      <c r="J41" t="s">
        <v>104</v>
      </c>
      <c r="K41" t="s">
        <v>105</v>
      </c>
      <c r="L41">
        <v>64540</v>
      </c>
      <c r="M41">
        <v>24.36</v>
      </c>
      <c r="N41">
        <v>99.87</v>
      </c>
      <c r="O41">
        <v>1</v>
      </c>
      <c r="P41" t="s">
        <v>25</v>
      </c>
      <c r="Q41" t="s">
        <v>48</v>
      </c>
      <c r="R41">
        <v>65.45</v>
      </c>
      <c r="S41">
        <v>33.65</v>
      </c>
      <c r="T41" t="s">
        <v>28</v>
      </c>
      <c r="U41" t="s">
        <v>27</v>
      </c>
      <c r="V41" t="s">
        <v>34</v>
      </c>
      <c r="W41" t="s">
        <v>241</v>
      </c>
      <c r="X41" t="s">
        <v>232</v>
      </c>
    </row>
    <row r="42" spans="1:24" x14ac:dyDescent="0.3">
      <c r="A42">
        <v>111</v>
      </c>
      <c r="B42" s="2" t="str">
        <f>HYPERLINK("https://imapinvasives.natureserve.org/imap/services/page/Presence/1438549.html", "View")</f>
        <v>View</v>
      </c>
      <c r="C42">
        <v>1438549</v>
      </c>
      <c r="D42">
        <v>1452807</v>
      </c>
      <c r="E42" t="str">
        <f>HYPERLINK("http://imap3images.s3-website-us-east-1.amazonaws.com/1452807/p/imap_app_photo_1722542816794.jpg", "View")</f>
        <v>View</v>
      </c>
      <c r="F42" t="s">
        <v>104</v>
      </c>
      <c r="G42" t="s">
        <v>126</v>
      </c>
      <c r="H42">
        <v>64540</v>
      </c>
      <c r="I42" t="str">
        <f t="shared" si="2"/>
        <v>View</v>
      </c>
      <c r="J42" t="s">
        <v>104</v>
      </c>
      <c r="K42" t="s">
        <v>105</v>
      </c>
      <c r="L42">
        <v>64540</v>
      </c>
      <c r="M42">
        <v>82.08</v>
      </c>
      <c r="N42">
        <v>99.83</v>
      </c>
      <c r="O42">
        <v>1</v>
      </c>
      <c r="P42" t="s">
        <v>25</v>
      </c>
      <c r="Q42" t="s">
        <v>48</v>
      </c>
      <c r="R42">
        <v>65.45</v>
      </c>
      <c r="S42">
        <v>33.65</v>
      </c>
      <c r="T42" t="s">
        <v>28</v>
      </c>
      <c r="U42" t="s">
        <v>28</v>
      </c>
      <c r="V42" t="s">
        <v>34</v>
      </c>
      <c r="W42" t="s">
        <v>241</v>
      </c>
      <c r="X42" t="s">
        <v>232</v>
      </c>
    </row>
    <row r="43" spans="1:24" x14ac:dyDescent="0.3">
      <c r="A43">
        <v>113</v>
      </c>
      <c r="B43" t="str">
        <f>HYPERLINK("https://imapinvasives.natureserve.org/imap/services/page/Presence/1335404.html", "View")</f>
        <v>View</v>
      </c>
      <c r="C43">
        <v>1335404</v>
      </c>
      <c r="D43">
        <v>1349699</v>
      </c>
      <c r="E43" t="str">
        <f>HYPERLINK("http://imap3images.s3-website-us-east-1.amazonaws.com/1349699/p/imap_app_photo_1686841974519.jpg", "View")</f>
        <v>View</v>
      </c>
      <c r="F43" t="s">
        <v>104</v>
      </c>
      <c r="G43" t="s">
        <v>126</v>
      </c>
      <c r="H43">
        <v>64540</v>
      </c>
      <c r="I43" t="str">
        <f t="shared" si="2"/>
        <v>View</v>
      </c>
      <c r="J43" t="s">
        <v>104</v>
      </c>
      <c r="K43" t="s">
        <v>105</v>
      </c>
      <c r="L43">
        <v>64540</v>
      </c>
      <c r="M43">
        <v>48.5</v>
      </c>
      <c r="N43">
        <v>99.63</v>
      </c>
      <c r="O43">
        <v>1</v>
      </c>
      <c r="P43" t="s">
        <v>25</v>
      </c>
      <c r="Q43" t="s">
        <v>48</v>
      </c>
      <c r="R43">
        <v>65.45</v>
      </c>
      <c r="S43">
        <v>33.65</v>
      </c>
      <c r="T43" t="s">
        <v>28</v>
      </c>
      <c r="U43" t="s">
        <v>28</v>
      </c>
      <c r="V43" t="s">
        <v>34</v>
      </c>
      <c r="W43" t="s">
        <v>241</v>
      </c>
      <c r="X43" t="s">
        <v>232</v>
      </c>
    </row>
    <row r="44" spans="1:24" x14ac:dyDescent="0.3">
      <c r="A44">
        <v>115</v>
      </c>
      <c r="B44" t="str">
        <f>HYPERLINK("https://imapinvasives.natureserve.org/imap/services/page/Presence/1438540.html", "View")</f>
        <v>View</v>
      </c>
      <c r="C44">
        <v>1438540</v>
      </c>
      <c r="D44">
        <v>1452798</v>
      </c>
      <c r="E44" t="str">
        <f>HYPERLINK("http://imap3images.s3-website-us-east-1.amazonaws.com/1452798/p/imap_app_photo_1722542752888.jpg", "View")</f>
        <v>View</v>
      </c>
      <c r="F44" t="s">
        <v>104</v>
      </c>
      <c r="G44" t="s">
        <v>126</v>
      </c>
      <c r="H44">
        <v>64540</v>
      </c>
      <c r="I44" t="str">
        <f t="shared" si="2"/>
        <v>View</v>
      </c>
      <c r="J44" t="s">
        <v>104</v>
      </c>
      <c r="K44" t="s">
        <v>105</v>
      </c>
      <c r="L44">
        <v>64540</v>
      </c>
      <c r="M44">
        <v>82.08</v>
      </c>
      <c r="N44">
        <v>90.15</v>
      </c>
      <c r="O44">
        <v>1</v>
      </c>
      <c r="P44" t="s">
        <v>25</v>
      </c>
      <c r="Q44" t="s">
        <v>48</v>
      </c>
      <c r="R44">
        <v>65.45</v>
      </c>
      <c r="S44">
        <v>33.65</v>
      </c>
      <c r="T44" t="s">
        <v>28</v>
      </c>
      <c r="U44" t="s">
        <v>28</v>
      </c>
      <c r="V44" t="s">
        <v>34</v>
      </c>
      <c r="W44" t="s">
        <v>241</v>
      </c>
      <c r="X44" t="s">
        <v>232</v>
      </c>
    </row>
    <row r="45" spans="1:24" x14ac:dyDescent="0.3">
      <c r="A45">
        <v>116</v>
      </c>
      <c r="B45" t="str">
        <f>HYPERLINK("https://imapinvasives.natureserve.org/imap/services/page/Presence/1331338.html", "View")</f>
        <v>View</v>
      </c>
      <c r="C45">
        <v>1331338</v>
      </c>
      <c r="D45">
        <v>1344818</v>
      </c>
      <c r="E45" t="str">
        <f>HYPERLINK("http://imap3images.s3-website-us-east-1.amazonaws.com/1344818/p/2023-05-01T11_56_45-04_00.JPEG", "View")</f>
        <v>View</v>
      </c>
      <c r="F45" t="s">
        <v>104</v>
      </c>
      <c r="G45" t="s">
        <v>126</v>
      </c>
      <c r="H45">
        <v>64540</v>
      </c>
      <c r="I45" t="str">
        <f t="shared" si="2"/>
        <v>View</v>
      </c>
      <c r="J45" t="s">
        <v>104</v>
      </c>
      <c r="K45" t="s">
        <v>105</v>
      </c>
      <c r="L45">
        <v>64540</v>
      </c>
      <c r="M45">
        <v>90</v>
      </c>
      <c r="N45">
        <v>95.11</v>
      </c>
      <c r="O45">
        <v>1</v>
      </c>
      <c r="P45" t="s">
        <v>25</v>
      </c>
      <c r="Q45" t="s">
        <v>48</v>
      </c>
      <c r="R45">
        <v>65.45</v>
      </c>
      <c r="S45">
        <v>33.65</v>
      </c>
      <c r="T45" t="s">
        <v>28</v>
      </c>
      <c r="U45" t="s">
        <v>28</v>
      </c>
      <c r="V45" t="s">
        <v>34</v>
      </c>
      <c r="W45" t="s">
        <v>241</v>
      </c>
      <c r="X45" t="s">
        <v>232</v>
      </c>
    </row>
    <row r="46" spans="1:24" x14ac:dyDescent="0.3">
      <c r="A46">
        <v>117</v>
      </c>
      <c r="B46" t="str">
        <f>HYPERLINK("https://imapinvasives.natureserve.org/imap/services/page/Presence/1074788.html", "View")</f>
        <v>View</v>
      </c>
      <c r="C46">
        <v>1074788</v>
      </c>
      <c r="D46">
        <v>1080172</v>
      </c>
      <c r="E46" t="str">
        <f>HYPERLINK("http://imap3images.s3-website-us-east-1.amazonaws.com/1080172/p/imap_app_photo_1604647354309.jpg", "View")</f>
        <v>View</v>
      </c>
      <c r="F46" t="s">
        <v>104</v>
      </c>
      <c r="G46" t="s">
        <v>126</v>
      </c>
      <c r="H46">
        <v>64540</v>
      </c>
      <c r="I46" t="str">
        <f t="shared" si="2"/>
        <v>View</v>
      </c>
      <c r="J46" t="s">
        <v>104</v>
      </c>
      <c r="K46" t="s">
        <v>105</v>
      </c>
      <c r="L46">
        <v>64540</v>
      </c>
      <c r="M46">
        <v>90</v>
      </c>
      <c r="N46">
        <v>98.21</v>
      </c>
      <c r="O46">
        <v>1</v>
      </c>
      <c r="P46" t="s">
        <v>25</v>
      </c>
      <c r="Q46" t="s">
        <v>48</v>
      </c>
      <c r="R46">
        <v>65.45</v>
      </c>
      <c r="S46">
        <v>33.65</v>
      </c>
      <c r="T46" t="s">
        <v>28</v>
      </c>
      <c r="U46" t="s">
        <v>28</v>
      </c>
      <c r="V46" t="s">
        <v>34</v>
      </c>
      <c r="W46" t="s">
        <v>241</v>
      </c>
      <c r="X46" t="s">
        <v>232</v>
      </c>
    </row>
    <row r="47" spans="1:24" x14ac:dyDescent="0.3">
      <c r="A47">
        <v>119</v>
      </c>
      <c r="B47" t="str">
        <f>HYPERLINK("https://imapinvasives.natureserve.org/imap/services/page/Presence/1298956.html", "View")</f>
        <v>View</v>
      </c>
      <c r="C47">
        <v>1298956</v>
      </c>
      <c r="D47">
        <v>1309288</v>
      </c>
      <c r="E47" t="str">
        <f>HYPERLINK("http://imap3images.s3-website-us-east-1.amazonaws.com/1309288/p/imap_app_photo_1666011347369.jpg", "View")</f>
        <v>View</v>
      </c>
      <c r="F47" t="s">
        <v>104</v>
      </c>
      <c r="G47" t="s">
        <v>126</v>
      </c>
      <c r="H47">
        <v>64540</v>
      </c>
      <c r="I47" t="str">
        <f t="shared" si="2"/>
        <v>View</v>
      </c>
      <c r="J47" t="s">
        <v>104</v>
      </c>
      <c r="K47" t="s">
        <v>105</v>
      </c>
      <c r="L47">
        <v>64540</v>
      </c>
      <c r="M47">
        <v>11.08</v>
      </c>
      <c r="N47">
        <v>80.959999999999994</v>
      </c>
      <c r="O47">
        <v>1</v>
      </c>
      <c r="P47" t="s">
        <v>25</v>
      </c>
      <c r="Q47" t="s">
        <v>48</v>
      </c>
      <c r="R47">
        <v>65.45</v>
      </c>
      <c r="S47">
        <v>33.65</v>
      </c>
      <c r="T47" t="s">
        <v>28</v>
      </c>
      <c r="U47" t="s">
        <v>27</v>
      </c>
      <c r="V47" t="s">
        <v>34</v>
      </c>
      <c r="W47" t="s">
        <v>241</v>
      </c>
      <c r="X47" t="s">
        <v>232</v>
      </c>
    </row>
    <row r="48" spans="1:24" x14ac:dyDescent="0.3">
      <c r="A48">
        <v>120</v>
      </c>
      <c r="B48" t="str">
        <f>HYPERLINK("https://imapinvasives.natureserve.org/imap/services/page/Presence/1441363.html", "View")</f>
        <v>View</v>
      </c>
      <c r="C48">
        <v>1441363</v>
      </c>
      <c r="D48">
        <v>1455821</v>
      </c>
      <c r="E48" t="str">
        <f>HYPERLINK("http://imap3images.s3-website-us-east-1.amazonaws.com/1455821/p/imap_app_photo_1723933938699.jpg", "View")</f>
        <v>View</v>
      </c>
      <c r="F48" t="s">
        <v>144</v>
      </c>
      <c r="G48" t="s">
        <v>145</v>
      </c>
      <c r="H48">
        <v>1103716</v>
      </c>
      <c r="I48" t="str">
        <f>HYPERLINK("https://www.inaturalist.org/taxa/1103716-Litylenchus-crenatae", "View")</f>
        <v>View</v>
      </c>
      <c r="J48" t="s">
        <v>146</v>
      </c>
      <c r="K48" t="s">
        <v>147</v>
      </c>
      <c r="L48">
        <v>1103716</v>
      </c>
      <c r="M48">
        <v>39.07</v>
      </c>
      <c r="N48">
        <v>96.34</v>
      </c>
      <c r="O48">
        <v>1</v>
      </c>
      <c r="P48" t="s">
        <v>25</v>
      </c>
      <c r="Q48" t="s">
        <v>91</v>
      </c>
      <c r="R48">
        <v>86.69</v>
      </c>
      <c r="S48">
        <v>21.54</v>
      </c>
      <c r="T48" t="s">
        <v>28</v>
      </c>
      <c r="U48" t="s">
        <v>28</v>
      </c>
      <c r="V48" t="s">
        <v>34</v>
      </c>
      <c r="W48" t="s">
        <v>241</v>
      </c>
      <c r="X48" t="s">
        <v>234</v>
      </c>
    </row>
    <row r="49" spans="1:24" x14ac:dyDescent="0.3">
      <c r="A49">
        <v>129</v>
      </c>
      <c r="B49" t="str">
        <f>HYPERLINK("https://imapinvasives.natureserve.org/imap/services/page/Presence/1287140.html", "View")</f>
        <v>View</v>
      </c>
      <c r="C49">
        <v>1287140</v>
      </c>
      <c r="D49">
        <v>1296960</v>
      </c>
      <c r="E49" t="str">
        <f>HYPERLINK("http://imap3images.s3-website-us-east-1.amazonaws.com/1296960/p/imap_app_photo_1660649907185.jpg", "View")</f>
        <v>View</v>
      </c>
      <c r="F49" t="s">
        <v>144</v>
      </c>
      <c r="G49" t="s">
        <v>145</v>
      </c>
      <c r="H49">
        <v>1103716</v>
      </c>
      <c r="I49" t="str">
        <f>HYPERLINK("https://www.inaturalist.org/taxa/1103716-Litylenchus-crenatae", "View")</f>
        <v>View</v>
      </c>
      <c r="J49" t="s">
        <v>146</v>
      </c>
      <c r="K49" t="s">
        <v>147</v>
      </c>
      <c r="L49">
        <v>1103716</v>
      </c>
      <c r="M49">
        <v>43.34</v>
      </c>
      <c r="N49">
        <v>97.58</v>
      </c>
      <c r="O49">
        <v>1</v>
      </c>
      <c r="P49" t="s">
        <v>25</v>
      </c>
      <c r="Q49" t="s">
        <v>91</v>
      </c>
      <c r="R49">
        <v>86.69</v>
      </c>
      <c r="S49">
        <v>21.54</v>
      </c>
      <c r="T49" t="s">
        <v>28</v>
      </c>
      <c r="U49" t="s">
        <v>28</v>
      </c>
      <c r="V49" t="s">
        <v>34</v>
      </c>
      <c r="W49" t="s">
        <v>241</v>
      </c>
      <c r="X49" t="s">
        <v>232</v>
      </c>
    </row>
    <row r="50" spans="1:24" x14ac:dyDescent="0.3">
      <c r="A50">
        <v>152</v>
      </c>
      <c r="B50" t="str">
        <f>HYPERLINK("https://imapinvasives.natureserve.org/imap/services/page/Presence/1298924.html", "View")</f>
        <v>View</v>
      </c>
      <c r="C50">
        <v>1298924</v>
      </c>
      <c r="D50">
        <v>1309256</v>
      </c>
      <c r="E50" t="str">
        <f>HYPERLINK("http://imap3images.s3-website-us-east-1.amazonaws.com/1309256/p/imap_app_photo_1665968199413.jpg", "View")</f>
        <v>View</v>
      </c>
      <c r="F50" t="s">
        <v>83</v>
      </c>
      <c r="G50" t="s">
        <v>84</v>
      </c>
      <c r="H50">
        <v>61321</v>
      </c>
      <c r="I50" t="str">
        <f t="shared" ref="I50:I58" si="3">HYPERLINK("https://www.inaturalist.org/taxa/61321-Lythrum-salicaria", "View")</f>
        <v>View</v>
      </c>
      <c r="J50" t="s">
        <v>83</v>
      </c>
      <c r="K50" t="s">
        <v>164</v>
      </c>
      <c r="L50">
        <v>61321</v>
      </c>
      <c r="M50">
        <v>23.08</v>
      </c>
      <c r="N50">
        <v>97.99</v>
      </c>
      <c r="O50">
        <v>1</v>
      </c>
      <c r="P50" t="s">
        <v>25</v>
      </c>
      <c r="Q50" t="s">
        <v>48</v>
      </c>
      <c r="R50">
        <v>89.08</v>
      </c>
      <c r="S50">
        <v>38.21</v>
      </c>
      <c r="T50" t="s">
        <v>28</v>
      </c>
      <c r="U50" t="s">
        <v>27</v>
      </c>
      <c r="V50" t="s">
        <v>34</v>
      </c>
      <c r="W50" t="s">
        <v>241</v>
      </c>
      <c r="X50" t="s">
        <v>232</v>
      </c>
    </row>
    <row r="51" spans="1:24" x14ac:dyDescent="0.3">
      <c r="A51">
        <v>153</v>
      </c>
      <c r="B51" t="str">
        <f>HYPERLINK("https://imapinvasives.natureserve.org/imap/services/page/Presence/1345649.html", "View")</f>
        <v>View</v>
      </c>
      <c r="C51">
        <v>1345649</v>
      </c>
      <c r="D51">
        <v>1361886</v>
      </c>
      <c r="E51" t="str">
        <f>HYPERLINK("http://imap3images.s3-website-us-east-1.amazonaws.com/1361886/p/imap_app_photo_1691595188479.jpg", "View")</f>
        <v>View</v>
      </c>
      <c r="F51" t="s">
        <v>83</v>
      </c>
      <c r="G51" t="s">
        <v>84</v>
      </c>
      <c r="H51">
        <v>61321</v>
      </c>
      <c r="I51" t="str">
        <f t="shared" si="3"/>
        <v>View</v>
      </c>
      <c r="J51" t="s">
        <v>83</v>
      </c>
      <c r="K51" t="s">
        <v>164</v>
      </c>
      <c r="L51">
        <v>61321</v>
      </c>
      <c r="M51">
        <v>23.08</v>
      </c>
      <c r="N51">
        <v>98.75</v>
      </c>
      <c r="O51">
        <v>1</v>
      </c>
      <c r="P51" t="s">
        <v>25</v>
      </c>
      <c r="Q51" t="s">
        <v>48</v>
      </c>
      <c r="R51">
        <v>89.08</v>
      </c>
      <c r="S51">
        <v>38.21</v>
      </c>
      <c r="T51" t="s">
        <v>28</v>
      </c>
      <c r="U51" t="s">
        <v>27</v>
      </c>
      <c r="V51" t="s">
        <v>34</v>
      </c>
      <c r="W51" t="s">
        <v>241</v>
      </c>
      <c r="X51" t="s">
        <v>232</v>
      </c>
    </row>
    <row r="52" spans="1:24" x14ac:dyDescent="0.3">
      <c r="A52">
        <v>158</v>
      </c>
      <c r="B52" t="str">
        <f>HYPERLINK("https://imapinvasives.natureserve.org/imap/services/page/Presence/1344269.html", "View")</f>
        <v>View</v>
      </c>
      <c r="C52">
        <v>1344269</v>
      </c>
      <c r="D52">
        <v>1359935</v>
      </c>
      <c r="E52" t="str">
        <f>HYPERLINK("http://imap3images.s3-website-us-east-1.amazonaws.com/1359935/p/imap_app_photo_1690943374383.jpg", "View")</f>
        <v>View</v>
      </c>
      <c r="F52" t="s">
        <v>83</v>
      </c>
      <c r="G52" t="s">
        <v>84</v>
      </c>
      <c r="H52">
        <v>61321</v>
      </c>
      <c r="I52" t="str">
        <f t="shared" si="3"/>
        <v>View</v>
      </c>
      <c r="J52" t="s">
        <v>83</v>
      </c>
      <c r="K52" t="s">
        <v>164</v>
      </c>
      <c r="L52">
        <v>61321</v>
      </c>
      <c r="M52">
        <v>51.17</v>
      </c>
      <c r="N52">
        <v>98.53</v>
      </c>
      <c r="O52">
        <v>1</v>
      </c>
      <c r="P52" t="s">
        <v>25</v>
      </c>
      <c r="Q52" t="s">
        <v>48</v>
      </c>
      <c r="R52">
        <v>89.08</v>
      </c>
      <c r="S52">
        <v>38.21</v>
      </c>
      <c r="T52" t="s">
        <v>28</v>
      </c>
      <c r="U52" t="s">
        <v>28</v>
      </c>
      <c r="V52" t="s">
        <v>34</v>
      </c>
      <c r="W52" t="s">
        <v>241</v>
      </c>
      <c r="X52" t="s">
        <v>232</v>
      </c>
    </row>
    <row r="53" spans="1:24" x14ac:dyDescent="0.3">
      <c r="A53">
        <v>161</v>
      </c>
      <c r="B53" t="str">
        <f>HYPERLINK("https://imapinvasives.natureserve.org/imap/services/page/Presence/515494.html", "View")</f>
        <v>View</v>
      </c>
      <c r="C53">
        <v>515494</v>
      </c>
      <c r="D53">
        <v>515494</v>
      </c>
      <c r="E53" t="str">
        <f>HYPERLINK("http://imap3images.s3-website-us-east-1.amazonaws.com/515494/p/photourl1_2017_10_06_matmilward_o9e47c5f.jpg", "View")</f>
        <v>View</v>
      </c>
      <c r="F53" t="s">
        <v>83</v>
      </c>
      <c r="G53" t="s">
        <v>84</v>
      </c>
      <c r="H53">
        <v>61321</v>
      </c>
      <c r="I53" t="str">
        <f t="shared" si="3"/>
        <v>View</v>
      </c>
      <c r="J53" t="s">
        <v>83</v>
      </c>
      <c r="K53" t="s">
        <v>164</v>
      </c>
      <c r="L53">
        <v>61321</v>
      </c>
      <c r="M53">
        <v>23.08</v>
      </c>
      <c r="N53">
        <v>93.05</v>
      </c>
      <c r="O53">
        <v>1</v>
      </c>
      <c r="P53" t="s">
        <v>25</v>
      </c>
      <c r="Q53" t="s">
        <v>48</v>
      </c>
      <c r="R53">
        <v>89.08</v>
      </c>
      <c r="S53">
        <v>38.21</v>
      </c>
      <c r="T53" t="s">
        <v>28</v>
      </c>
      <c r="U53" t="s">
        <v>27</v>
      </c>
      <c r="V53" t="s">
        <v>34</v>
      </c>
      <c r="W53" t="s">
        <v>241</v>
      </c>
      <c r="X53" t="s">
        <v>232</v>
      </c>
    </row>
    <row r="54" spans="1:24" x14ac:dyDescent="0.3">
      <c r="A54">
        <v>165</v>
      </c>
      <c r="B54" t="str">
        <f>HYPERLINK("https://imapinvasives.natureserve.org/imap/services/page/Presence/1289393.html", "View")</f>
        <v>View</v>
      </c>
      <c r="C54">
        <v>1289393</v>
      </c>
      <c r="D54">
        <v>1299497</v>
      </c>
      <c r="E54" t="str">
        <f>HYPERLINK("http://imap3images.s3-website-us-east-1.amazonaws.com/1299497/p/IMG_4865.jpg", "View")</f>
        <v>View</v>
      </c>
      <c r="F54" t="s">
        <v>83</v>
      </c>
      <c r="G54" t="s">
        <v>84</v>
      </c>
      <c r="H54">
        <v>61321</v>
      </c>
      <c r="I54" t="str">
        <f t="shared" si="3"/>
        <v>View</v>
      </c>
      <c r="J54" t="s">
        <v>83</v>
      </c>
      <c r="K54" t="s">
        <v>164</v>
      </c>
      <c r="L54">
        <v>61321</v>
      </c>
      <c r="M54">
        <v>69.23</v>
      </c>
      <c r="N54">
        <v>98.69</v>
      </c>
      <c r="O54">
        <v>1</v>
      </c>
      <c r="P54" t="s">
        <v>25</v>
      </c>
      <c r="Q54" t="s">
        <v>48</v>
      </c>
      <c r="R54">
        <v>89.08</v>
      </c>
      <c r="S54">
        <v>38.21</v>
      </c>
      <c r="T54" t="s">
        <v>28</v>
      </c>
      <c r="U54" t="s">
        <v>28</v>
      </c>
      <c r="V54" t="s">
        <v>34</v>
      </c>
      <c r="W54" t="s">
        <v>241</v>
      </c>
      <c r="X54" t="s">
        <v>232</v>
      </c>
    </row>
    <row r="55" spans="1:24" x14ac:dyDescent="0.3">
      <c r="A55">
        <v>168</v>
      </c>
      <c r="B55" t="str">
        <f>HYPERLINK("https://imapinvasives.natureserve.org/imap/services/page/Presence/1157938.html", "View")</f>
        <v>View</v>
      </c>
      <c r="C55">
        <v>1157938</v>
      </c>
      <c r="D55">
        <v>1164991</v>
      </c>
      <c r="E55" t="str">
        <f>HYPERLINK("http://imap3images.s3-website-us-east-1.amazonaws.com/1164991/p/imap_app_photo_1628772990112.jpg", "View")</f>
        <v>View</v>
      </c>
      <c r="F55" t="s">
        <v>83</v>
      </c>
      <c r="G55" t="s">
        <v>84</v>
      </c>
      <c r="H55">
        <v>61321</v>
      </c>
      <c r="I55" t="str">
        <f t="shared" si="3"/>
        <v>View</v>
      </c>
      <c r="J55" t="s">
        <v>83</v>
      </c>
      <c r="K55" t="s">
        <v>164</v>
      </c>
      <c r="L55">
        <v>61321</v>
      </c>
      <c r="M55">
        <v>14.11</v>
      </c>
      <c r="N55">
        <v>91.23</v>
      </c>
      <c r="O55">
        <v>1</v>
      </c>
      <c r="P55" t="s">
        <v>25</v>
      </c>
      <c r="Q55" t="s">
        <v>48</v>
      </c>
      <c r="R55">
        <v>89.08</v>
      </c>
      <c r="S55">
        <v>38.21</v>
      </c>
      <c r="T55" t="s">
        <v>28</v>
      </c>
      <c r="U55" t="s">
        <v>27</v>
      </c>
      <c r="V55" t="s">
        <v>34</v>
      </c>
      <c r="W55" t="s">
        <v>241</v>
      </c>
      <c r="X55" t="s">
        <v>232</v>
      </c>
    </row>
    <row r="56" spans="1:24" x14ac:dyDescent="0.3">
      <c r="A56">
        <v>170</v>
      </c>
      <c r="B56" t="str">
        <f>HYPERLINK("https://imapinvasives.natureserve.org/imap/services/page/Presence/1160534.html", "View")</f>
        <v>View</v>
      </c>
      <c r="C56">
        <v>1160534</v>
      </c>
      <c r="D56">
        <v>1167660</v>
      </c>
      <c r="E56" t="str">
        <f>HYPERLINK("http://imap3images.s3-website-us-east-1.amazonaws.com/1167660/p/PXL_20210820_230409144.jpg", "View")</f>
        <v>View</v>
      </c>
      <c r="F56" t="s">
        <v>83</v>
      </c>
      <c r="G56" t="s">
        <v>84</v>
      </c>
      <c r="H56">
        <v>61321</v>
      </c>
      <c r="I56" t="str">
        <f t="shared" si="3"/>
        <v>View</v>
      </c>
      <c r="J56" t="s">
        <v>83</v>
      </c>
      <c r="K56" t="s">
        <v>164</v>
      </c>
      <c r="L56">
        <v>61321</v>
      </c>
      <c r="M56">
        <v>19.149999999999999</v>
      </c>
      <c r="N56">
        <v>97.89</v>
      </c>
      <c r="O56">
        <v>1</v>
      </c>
      <c r="P56" t="s">
        <v>25</v>
      </c>
      <c r="Q56" t="s">
        <v>48</v>
      </c>
      <c r="R56">
        <v>89.08</v>
      </c>
      <c r="S56">
        <v>38.21</v>
      </c>
      <c r="T56" t="s">
        <v>28</v>
      </c>
      <c r="U56" t="s">
        <v>27</v>
      </c>
      <c r="V56" t="s">
        <v>34</v>
      </c>
      <c r="W56" t="s">
        <v>241</v>
      </c>
      <c r="X56" t="s">
        <v>232</v>
      </c>
    </row>
    <row r="57" spans="1:24" x14ac:dyDescent="0.3">
      <c r="A57">
        <v>171</v>
      </c>
      <c r="B57" t="str">
        <f>HYPERLINK("https://imapinvasives.natureserve.org/imap/services/page/Presence/1438607.html", "View")</f>
        <v>View</v>
      </c>
      <c r="C57">
        <v>1438607</v>
      </c>
      <c r="D57">
        <v>1452865</v>
      </c>
      <c r="E57" t="str">
        <f>HYPERLINK("http://imap3images.s3-website-us-east-1.amazonaws.com/1452865/p/imap_app_photo_1722622482028.jpg", "View")</f>
        <v>View</v>
      </c>
      <c r="F57" t="s">
        <v>83</v>
      </c>
      <c r="G57" t="s">
        <v>84</v>
      </c>
      <c r="H57">
        <v>61321</v>
      </c>
      <c r="I57" t="str">
        <f t="shared" si="3"/>
        <v>View</v>
      </c>
      <c r="J57" t="s">
        <v>83</v>
      </c>
      <c r="K57" t="s">
        <v>164</v>
      </c>
      <c r="L57">
        <v>61321</v>
      </c>
      <c r="M57">
        <v>19.149999999999999</v>
      </c>
      <c r="N57">
        <v>98.64</v>
      </c>
      <c r="O57">
        <v>1</v>
      </c>
      <c r="P57" t="s">
        <v>25</v>
      </c>
      <c r="Q57" t="s">
        <v>48</v>
      </c>
      <c r="R57">
        <v>89.08</v>
      </c>
      <c r="S57">
        <v>38.21</v>
      </c>
      <c r="T57" t="s">
        <v>28</v>
      </c>
      <c r="U57" t="s">
        <v>27</v>
      </c>
      <c r="V57" t="s">
        <v>34</v>
      </c>
      <c r="W57" t="s">
        <v>241</v>
      </c>
      <c r="X57" t="s">
        <v>232</v>
      </c>
    </row>
    <row r="58" spans="1:24" x14ac:dyDescent="0.3">
      <c r="A58">
        <v>178</v>
      </c>
      <c r="B58" t="str">
        <f>HYPERLINK("https://imapinvasives.natureserve.org/imap/services/page/Presence/1291401.html", "View")</f>
        <v>View</v>
      </c>
      <c r="C58">
        <v>1291401</v>
      </c>
      <c r="D58">
        <v>1301596</v>
      </c>
      <c r="E58" t="str">
        <f>HYPERLINK("http://imap3images.s3-website-us-east-1.amazonaws.com/1301596/p/imap_app_photo_1662146777755.jpg", "View")</f>
        <v>View</v>
      </c>
      <c r="F58" t="s">
        <v>83</v>
      </c>
      <c r="G58" t="s">
        <v>84</v>
      </c>
      <c r="H58">
        <v>61321</v>
      </c>
      <c r="I58" t="str">
        <f t="shared" si="3"/>
        <v>View</v>
      </c>
      <c r="J58" t="s">
        <v>83</v>
      </c>
      <c r="K58" t="s">
        <v>164</v>
      </c>
      <c r="L58">
        <v>61321</v>
      </c>
      <c r="M58">
        <v>23.95</v>
      </c>
      <c r="N58">
        <v>97.44</v>
      </c>
      <c r="O58">
        <v>1</v>
      </c>
      <c r="P58" t="s">
        <v>25</v>
      </c>
      <c r="Q58" t="s">
        <v>48</v>
      </c>
      <c r="R58">
        <v>89.08</v>
      </c>
      <c r="S58">
        <v>38.21</v>
      </c>
      <c r="T58" t="s">
        <v>28</v>
      </c>
      <c r="U58" t="s">
        <v>27</v>
      </c>
      <c r="V58" t="s">
        <v>34</v>
      </c>
      <c r="W58" t="s">
        <v>241</v>
      </c>
      <c r="X58" t="s">
        <v>232</v>
      </c>
    </row>
    <row r="59" spans="1:24" x14ac:dyDescent="0.3">
      <c r="A59">
        <v>188</v>
      </c>
      <c r="B59" t="str">
        <f>HYPERLINK("https://imapinvasives.natureserve.org/imap/services/page/Presence/1281548.html", "View")</f>
        <v>View</v>
      </c>
      <c r="C59">
        <v>1281548</v>
      </c>
      <c r="D59">
        <v>1290962</v>
      </c>
      <c r="E59" t="str">
        <f>HYPERLINK("http://imap3images.s3-website-us-east-1.amazonaws.com/1290962/p/imap_app_photo_1657202391530.jpg", "View")</f>
        <v>View</v>
      </c>
      <c r="F59" t="s">
        <v>140</v>
      </c>
      <c r="G59" t="s">
        <v>191</v>
      </c>
      <c r="H59">
        <v>54811</v>
      </c>
      <c r="I59" t="str">
        <f>HYPERLINK("https://www.inaturalist.org/taxa/54811-Rhamnus-cathartica", "View")</f>
        <v>View</v>
      </c>
      <c r="J59" t="s">
        <v>140</v>
      </c>
      <c r="K59" t="s">
        <v>141</v>
      </c>
      <c r="L59">
        <v>54811</v>
      </c>
      <c r="M59">
        <v>40.36</v>
      </c>
      <c r="N59">
        <v>87.96</v>
      </c>
      <c r="O59">
        <v>1</v>
      </c>
      <c r="P59" t="s">
        <v>25</v>
      </c>
      <c r="Q59" t="s">
        <v>48</v>
      </c>
      <c r="R59">
        <v>81.5</v>
      </c>
      <c r="S59">
        <v>31.47</v>
      </c>
      <c r="T59" t="s">
        <v>28</v>
      </c>
      <c r="U59" t="s">
        <v>28</v>
      </c>
      <c r="V59" t="s">
        <v>34</v>
      </c>
      <c r="W59" t="s">
        <v>241</v>
      </c>
      <c r="X59" t="s">
        <v>232</v>
      </c>
    </row>
    <row r="60" spans="1:24" x14ac:dyDescent="0.3">
      <c r="A60">
        <v>195</v>
      </c>
      <c r="B60" t="str">
        <f>HYPERLINK("https://imapinvasives.natureserve.org/imap/services/page/Presence/444073.html", "View")</f>
        <v>View</v>
      </c>
      <c r="C60">
        <v>444073</v>
      </c>
      <c r="D60">
        <v>444073</v>
      </c>
      <c r="E60" t="str">
        <f>HYPERLINK("http://imap3images.s3-website-us-east-1.amazonaws.com/444073/p/photourl1_2015_06_04_matbilz_v5roltum.jpg", "View")</f>
        <v>View</v>
      </c>
      <c r="F60" t="s">
        <v>140</v>
      </c>
      <c r="G60" t="s">
        <v>191</v>
      </c>
      <c r="H60">
        <v>54811</v>
      </c>
      <c r="I60" t="str">
        <f>HYPERLINK("https://www.inaturalist.org/taxa/54811-Rhamnus-cathartica", "View")</f>
        <v>View</v>
      </c>
      <c r="J60" t="s">
        <v>140</v>
      </c>
      <c r="K60" t="s">
        <v>141</v>
      </c>
      <c r="L60">
        <v>54811</v>
      </c>
      <c r="M60">
        <v>42.32</v>
      </c>
      <c r="N60">
        <v>98.09</v>
      </c>
      <c r="O60">
        <v>1</v>
      </c>
      <c r="P60" t="s">
        <v>25</v>
      </c>
      <c r="Q60" t="s">
        <v>48</v>
      </c>
      <c r="R60">
        <v>81.5</v>
      </c>
      <c r="S60">
        <v>31.47</v>
      </c>
      <c r="T60" t="s">
        <v>28</v>
      </c>
      <c r="U60" t="s">
        <v>28</v>
      </c>
      <c r="V60" t="s">
        <v>34</v>
      </c>
      <c r="W60" t="s">
        <v>241</v>
      </c>
      <c r="X60" t="s">
        <v>232</v>
      </c>
    </row>
    <row r="61" spans="1:24" x14ac:dyDescent="0.3">
      <c r="A61">
        <v>196</v>
      </c>
      <c r="B61" t="str">
        <f>HYPERLINK("https://imapinvasives.natureserve.org/imap/services/page/Presence/531659.html", "View")</f>
        <v>View</v>
      </c>
      <c r="C61">
        <v>531659</v>
      </c>
      <c r="D61">
        <v>531659</v>
      </c>
      <c r="E61" t="str">
        <f>HYPERLINK("http://imap3images.s3-website-us-east-1.amazonaws.com/531659/p/photourl1_2018_09_29_emithiel_xc5ztp3y.jpg", "View")</f>
        <v>View</v>
      </c>
      <c r="F61" t="s">
        <v>140</v>
      </c>
      <c r="G61" t="s">
        <v>191</v>
      </c>
      <c r="H61">
        <v>54811</v>
      </c>
      <c r="I61" t="str">
        <f>HYPERLINK("https://www.inaturalist.org/taxa/54811-Rhamnus-cathartica", "View")</f>
        <v>View</v>
      </c>
      <c r="J61" t="s">
        <v>140</v>
      </c>
      <c r="K61" t="s">
        <v>141</v>
      </c>
      <c r="L61">
        <v>54811</v>
      </c>
      <c r="M61">
        <v>40.36</v>
      </c>
      <c r="N61">
        <v>98.46</v>
      </c>
      <c r="O61">
        <v>1</v>
      </c>
      <c r="P61" t="s">
        <v>25</v>
      </c>
      <c r="Q61" t="s">
        <v>48</v>
      </c>
      <c r="R61">
        <v>81.5</v>
      </c>
      <c r="S61">
        <v>31.47</v>
      </c>
      <c r="T61" t="s">
        <v>28</v>
      </c>
      <c r="U61" t="s">
        <v>28</v>
      </c>
      <c r="V61" t="s">
        <v>34</v>
      </c>
      <c r="W61" t="s">
        <v>241</v>
      </c>
      <c r="X61" t="s">
        <v>232</v>
      </c>
    </row>
    <row r="62" spans="1:24" x14ac:dyDescent="0.3">
      <c r="A62">
        <v>201</v>
      </c>
      <c r="B62" t="str">
        <f>HYPERLINK("https://imapinvasives.natureserve.org/imap/services/page/Presence/1271110.html", "View")</f>
        <v>View</v>
      </c>
      <c r="C62">
        <v>1271110</v>
      </c>
      <c r="D62">
        <v>1280050</v>
      </c>
      <c r="E62" t="str">
        <f>HYPERLINK("http://imap3images.s3-website-us-east-1.amazonaws.com/1280050/p/imap_app_photo_1651090947259.jpg", "View")</f>
        <v>View</v>
      </c>
      <c r="F62" t="s">
        <v>140</v>
      </c>
      <c r="G62" t="s">
        <v>191</v>
      </c>
      <c r="H62">
        <v>54811</v>
      </c>
      <c r="I62" t="str">
        <f>HYPERLINK("https://www.inaturalist.org/taxa/54811-Rhamnus-cathartica", "View")</f>
        <v>View</v>
      </c>
      <c r="J62" t="s">
        <v>140</v>
      </c>
      <c r="K62" t="s">
        <v>141</v>
      </c>
      <c r="L62">
        <v>54811</v>
      </c>
      <c r="M62">
        <v>33.47</v>
      </c>
      <c r="N62">
        <v>83.88</v>
      </c>
      <c r="O62">
        <v>1</v>
      </c>
      <c r="P62" t="s">
        <v>25</v>
      </c>
      <c r="Q62" t="s">
        <v>48</v>
      </c>
      <c r="R62">
        <v>81.5</v>
      </c>
      <c r="S62">
        <v>31.47</v>
      </c>
      <c r="T62" t="s">
        <v>28</v>
      </c>
      <c r="U62" t="s">
        <v>28</v>
      </c>
      <c r="V62" t="s">
        <v>34</v>
      </c>
      <c r="W62" t="s">
        <v>241</v>
      </c>
      <c r="X62" t="s">
        <v>232</v>
      </c>
    </row>
    <row r="63" spans="1:24" x14ac:dyDescent="0.3">
      <c r="A63">
        <v>202</v>
      </c>
      <c r="B63" t="str">
        <f>HYPERLINK("https://imapinvasives.natureserve.org/imap/services/page/Presence/1332996.html", "View")</f>
        <v>View</v>
      </c>
      <c r="C63">
        <v>1332996</v>
      </c>
      <c r="D63">
        <v>1347068</v>
      </c>
      <c r="E63" t="str">
        <f>HYPERLINK("http://imap3images.s3-website-us-east-1.amazonaws.com/1347068/p/Photo2-20230526-193239.jpg", "View")</f>
        <v>View</v>
      </c>
      <c r="F63" t="s">
        <v>104</v>
      </c>
      <c r="G63" t="s">
        <v>126</v>
      </c>
      <c r="H63">
        <v>64540</v>
      </c>
      <c r="I63" t="str">
        <f>HYPERLINK("https://www.inaturalist.org/taxa/64540-Celastrus-orbiculatus", "View")</f>
        <v>View</v>
      </c>
      <c r="J63" t="s">
        <v>104</v>
      </c>
      <c r="K63" t="s">
        <v>105</v>
      </c>
      <c r="L63">
        <v>64540</v>
      </c>
      <c r="M63">
        <v>20.72</v>
      </c>
      <c r="N63">
        <v>96.54</v>
      </c>
      <c r="O63">
        <v>1</v>
      </c>
      <c r="P63" t="s">
        <v>25</v>
      </c>
      <c r="Q63" t="s">
        <v>48</v>
      </c>
      <c r="R63">
        <v>65.45</v>
      </c>
      <c r="S63">
        <v>33.65</v>
      </c>
      <c r="T63" t="s">
        <v>28</v>
      </c>
      <c r="U63" t="s">
        <v>27</v>
      </c>
      <c r="V63" t="s">
        <v>34</v>
      </c>
      <c r="W63" t="s">
        <v>241</v>
      </c>
      <c r="X63" t="s">
        <v>232</v>
      </c>
    </row>
    <row r="64" spans="1:24" x14ac:dyDescent="0.3">
      <c r="A64">
        <v>208</v>
      </c>
      <c r="B64" t="str">
        <f>HYPERLINK("https://imapinvasives.natureserve.org/imap/services/page/Presence/533424.html", "View")</f>
        <v>View</v>
      </c>
      <c r="C64">
        <v>533424</v>
      </c>
      <c r="D64">
        <v>533424</v>
      </c>
      <c r="E64" t="str">
        <f>HYPERLINK("http://imap3images.s3-website-us-east-1.amazonaws.com/533424/p/photourl1_2019_02_18_chrbolt_ylbi9n9x.jpg", "View")</f>
        <v>View</v>
      </c>
      <c r="F64" t="s">
        <v>140</v>
      </c>
      <c r="G64" t="s">
        <v>191</v>
      </c>
      <c r="H64">
        <v>54811</v>
      </c>
      <c r="I64" t="str">
        <f>HYPERLINK("https://www.inaturalist.org/taxa/54811-Rhamnus-cathartica", "View")</f>
        <v>View</v>
      </c>
      <c r="J64" t="s">
        <v>140</v>
      </c>
      <c r="K64" t="s">
        <v>141</v>
      </c>
      <c r="L64">
        <v>54811</v>
      </c>
      <c r="M64">
        <v>42.32</v>
      </c>
      <c r="N64">
        <v>89.32</v>
      </c>
      <c r="O64">
        <v>1</v>
      </c>
      <c r="P64" t="s">
        <v>25</v>
      </c>
      <c r="Q64" t="s">
        <v>48</v>
      </c>
      <c r="R64">
        <v>81.5</v>
      </c>
      <c r="S64">
        <v>31.47</v>
      </c>
      <c r="T64" t="s">
        <v>28</v>
      </c>
      <c r="U64" t="s">
        <v>28</v>
      </c>
      <c r="V64" t="s">
        <v>34</v>
      </c>
      <c r="W64" t="s">
        <v>241</v>
      </c>
      <c r="X64" t="s">
        <v>232</v>
      </c>
    </row>
    <row r="65" spans="1:24" x14ac:dyDescent="0.3">
      <c r="A65">
        <v>210</v>
      </c>
      <c r="B65" t="str">
        <f>HYPERLINK("https://imapinvasives.natureserve.org/imap/services/page/Presence/1299163.html", "View")</f>
        <v>View</v>
      </c>
      <c r="C65">
        <v>1299163</v>
      </c>
      <c r="D65">
        <v>1309497</v>
      </c>
      <c r="E65" t="str">
        <f>HYPERLINK("http://imap3images.s3-website-us-east-1.amazonaws.com/1309497/p/imap_app_photo_1666103604986.jpg", "View")</f>
        <v>View</v>
      </c>
      <c r="F65" t="s">
        <v>89</v>
      </c>
      <c r="G65" t="s">
        <v>90</v>
      </c>
      <c r="H65">
        <v>78882</v>
      </c>
      <c r="I65" t="str">
        <f t="shared" ref="I65:I79" si="4">HYPERLINK("https://www.inaturalist.org/taxa/78882-Rosa-multiflora", "View")</f>
        <v>View</v>
      </c>
      <c r="J65" t="s">
        <v>89</v>
      </c>
      <c r="K65" t="s">
        <v>96</v>
      </c>
      <c r="L65">
        <v>78882</v>
      </c>
      <c r="M65">
        <v>21.96</v>
      </c>
      <c r="N65">
        <v>96.01</v>
      </c>
      <c r="O65">
        <v>1</v>
      </c>
      <c r="P65" t="s">
        <v>25</v>
      </c>
      <c r="Q65" t="s">
        <v>48</v>
      </c>
      <c r="R65">
        <v>74.05</v>
      </c>
      <c r="S65">
        <v>41.31</v>
      </c>
      <c r="T65" t="s">
        <v>28</v>
      </c>
      <c r="U65" t="s">
        <v>27</v>
      </c>
      <c r="V65" t="s">
        <v>34</v>
      </c>
      <c r="W65" t="s">
        <v>241</v>
      </c>
      <c r="X65" t="s">
        <v>232</v>
      </c>
    </row>
    <row r="66" spans="1:24" x14ac:dyDescent="0.3">
      <c r="A66">
        <v>216</v>
      </c>
      <c r="B66" t="str">
        <f>HYPERLINK("https://imapinvasives.natureserve.org/imap/services/page/Presence/1160489.html", "View")</f>
        <v>View</v>
      </c>
      <c r="C66">
        <v>1160489</v>
      </c>
      <c r="D66">
        <v>1167609</v>
      </c>
      <c r="E66" t="str">
        <f>HYPERLINK("http://imap3images.s3-website-us-east-1.amazonaws.com/1167609/p/imap_app_photo_1630277722594.jpg", "View")</f>
        <v>View</v>
      </c>
      <c r="F66" t="s">
        <v>89</v>
      </c>
      <c r="G66" t="s">
        <v>90</v>
      </c>
      <c r="H66">
        <v>78882</v>
      </c>
      <c r="I66" t="str">
        <f t="shared" si="4"/>
        <v>View</v>
      </c>
      <c r="J66" t="s">
        <v>89</v>
      </c>
      <c r="K66" t="s">
        <v>96</v>
      </c>
      <c r="L66">
        <v>78882</v>
      </c>
      <c r="M66">
        <v>36.74</v>
      </c>
      <c r="N66">
        <v>78.94</v>
      </c>
      <c r="O66">
        <v>1</v>
      </c>
      <c r="P66" t="s">
        <v>25</v>
      </c>
      <c r="Q66" t="s">
        <v>48</v>
      </c>
      <c r="R66">
        <v>74.05</v>
      </c>
      <c r="S66">
        <v>41.31</v>
      </c>
      <c r="T66" t="s">
        <v>28</v>
      </c>
      <c r="U66" t="s">
        <v>27</v>
      </c>
      <c r="V66" t="s">
        <v>34</v>
      </c>
      <c r="W66" t="s">
        <v>241</v>
      </c>
      <c r="X66" t="s">
        <v>232</v>
      </c>
    </row>
    <row r="67" spans="1:24" x14ac:dyDescent="0.3">
      <c r="A67">
        <v>217</v>
      </c>
      <c r="B67" t="str">
        <f>HYPERLINK("https://imapinvasives.natureserve.org/imap/services/page/Presence/1051530.html", "View")</f>
        <v>View</v>
      </c>
      <c r="C67">
        <v>1051530</v>
      </c>
      <c r="D67">
        <v>1055609</v>
      </c>
      <c r="E67" t="str">
        <f>HYPERLINK("http://imap3images.s3-website-us-east-1.amazonaws.com/1055609/p/imap_app_photo_1592859839196.jpg", "View")</f>
        <v>View</v>
      </c>
      <c r="F67" t="s">
        <v>89</v>
      </c>
      <c r="G67" t="s">
        <v>90</v>
      </c>
      <c r="H67">
        <v>78882</v>
      </c>
      <c r="I67" t="str">
        <f t="shared" si="4"/>
        <v>View</v>
      </c>
      <c r="J67" t="s">
        <v>89</v>
      </c>
      <c r="K67" t="s">
        <v>96</v>
      </c>
      <c r="L67">
        <v>78882</v>
      </c>
      <c r="M67">
        <v>30.55</v>
      </c>
      <c r="N67">
        <v>99.94</v>
      </c>
      <c r="O67">
        <v>1</v>
      </c>
      <c r="P67" t="s">
        <v>25</v>
      </c>
      <c r="Q67" t="s">
        <v>48</v>
      </c>
      <c r="R67">
        <v>74.05</v>
      </c>
      <c r="S67">
        <v>41.31</v>
      </c>
      <c r="T67" t="s">
        <v>28</v>
      </c>
      <c r="U67" t="s">
        <v>27</v>
      </c>
      <c r="V67" t="s">
        <v>34</v>
      </c>
      <c r="W67" t="s">
        <v>241</v>
      </c>
      <c r="X67" t="s">
        <v>232</v>
      </c>
    </row>
    <row r="68" spans="1:24" x14ac:dyDescent="0.3">
      <c r="A68">
        <v>225</v>
      </c>
      <c r="B68" t="str">
        <f>HYPERLINK("https://imapinvasives.natureserve.org/imap/services/page/Presence/1048572.html", "View")</f>
        <v>View</v>
      </c>
      <c r="C68">
        <v>1048572</v>
      </c>
      <c r="D68">
        <v>1052590</v>
      </c>
      <c r="E68" t="str">
        <f>HYPERLINK("http://imap3images.s3-website-us-east-1.amazonaws.com/1052590/p/imap_app_photo_1591544249339.jpg", "View")</f>
        <v>View</v>
      </c>
      <c r="F68" t="s">
        <v>89</v>
      </c>
      <c r="G68" t="s">
        <v>90</v>
      </c>
      <c r="H68">
        <v>78882</v>
      </c>
      <c r="I68" t="str">
        <f t="shared" si="4"/>
        <v>View</v>
      </c>
      <c r="J68" t="s">
        <v>89</v>
      </c>
      <c r="K68" t="s">
        <v>96</v>
      </c>
      <c r="L68">
        <v>78882</v>
      </c>
      <c r="M68">
        <v>44.44</v>
      </c>
      <c r="N68">
        <v>93.08</v>
      </c>
      <c r="O68">
        <v>1</v>
      </c>
      <c r="P68" t="s">
        <v>25</v>
      </c>
      <c r="Q68" t="s">
        <v>48</v>
      </c>
      <c r="R68">
        <v>74.05</v>
      </c>
      <c r="S68">
        <v>41.31</v>
      </c>
      <c r="T68" t="s">
        <v>28</v>
      </c>
      <c r="U68" t="s">
        <v>28</v>
      </c>
      <c r="V68" t="s">
        <v>34</v>
      </c>
      <c r="W68" t="s">
        <v>241</v>
      </c>
      <c r="X68" t="s">
        <v>232</v>
      </c>
    </row>
    <row r="69" spans="1:24" x14ac:dyDescent="0.3">
      <c r="A69">
        <v>226</v>
      </c>
      <c r="B69" t="str">
        <f>HYPERLINK("https://imapinvasives.natureserve.org/imap/services/page/Presence/1271149.html", "View")</f>
        <v>View</v>
      </c>
      <c r="C69">
        <v>1271149</v>
      </c>
      <c r="D69">
        <v>1280094</v>
      </c>
      <c r="E69" t="str">
        <f>HYPERLINK("http://imap3images.s3-website-us-east-1.amazonaws.com/1280094/p/5B6108CC-61EE-4C2A-B7FC-83776FB2EDCB.jpeg", "View")</f>
        <v>View</v>
      </c>
      <c r="F69" t="s">
        <v>89</v>
      </c>
      <c r="G69" t="s">
        <v>90</v>
      </c>
      <c r="H69">
        <v>78882</v>
      </c>
      <c r="I69" t="str">
        <f t="shared" si="4"/>
        <v>View</v>
      </c>
      <c r="J69" t="s">
        <v>89</v>
      </c>
      <c r="K69" t="s">
        <v>96</v>
      </c>
      <c r="L69">
        <v>78882</v>
      </c>
      <c r="M69">
        <v>86.9</v>
      </c>
      <c r="N69">
        <v>99.3</v>
      </c>
      <c r="O69">
        <v>1</v>
      </c>
      <c r="P69" t="s">
        <v>25</v>
      </c>
      <c r="Q69" t="s">
        <v>48</v>
      </c>
      <c r="R69">
        <v>74.05</v>
      </c>
      <c r="S69">
        <v>41.31</v>
      </c>
      <c r="T69" t="s">
        <v>28</v>
      </c>
      <c r="U69" t="s">
        <v>28</v>
      </c>
      <c r="V69" t="s">
        <v>34</v>
      </c>
      <c r="W69" t="s">
        <v>241</v>
      </c>
      <c r="X69" t="s">
        <v>234</v>
      </c>
    </row>
    <row r="70" spans="1:24" x14ac:dyDescent="0.3">
      <c r="A70">
        <v>228</v>
      </c>
      <c r="B70" t="str">
        <f>HYPERLINK("https://imapinvasives.natureserve.org/imap/services/page/Presence/1045313.html", "View")</f>
        <v>View</v>
      </c>
      <c r="C70">
        <v>1045313</v>
      </c>
      <c r="D70">
        <v>1049221</v>
      </c>
      <c r="E70" t="str">
        <f>HYPERLINK("http://imap3images.s3-website-us-east-1.amazonaws.com/1049221/p/imap_app_photo_1588025774328.jpg", "View")</f>
        <v>View</v>
      </c>
      <c r="F70" t="s">
        <v>89</v>
      </c>
      <c r="G70" t="s">
        <v>90</v>
      </c>
      <c r="H70">
        <v>78882</v>
      </c>
      <c r="I70" t="str">
        <f t="shared" si="4"/>
        <v>View</v>
      </c>
      <c r="J70" t="s">
        <v>89</v>
      </c>
      <c r="K70" t="s">
        <v>96</v>
      </c>
      <c r="L70">
        <v>78882</v>
      </c>
      <c r="M70">
        <v>38.81</v>
      </c>
      <c r="N70">
        <v>98.58</v>
      </c>
      <c r="O70">
        <v>1</v>
      </c>
      <c r="P70" t="s">
        <v>25</v>
      </c>
      <c r="Q70" t="s">
        <v>48</v>
      </c>
      <c r="R70">
        <v>74.05</v>
      </c>
      <c r="S70">
        <v>41.31</v>
      </c>
      <c r="T70" t="s">
        <v>28</v>
      </c>
      <c r="U70" t="s">
        <v>27</v>
      </c>
      <c r="V70" t="s">
        <v>34</v>
      </c>
      <c r="W70" t="s">
        <v>241</v>
      </c>
      <c r="X70" t="s">
        <v>232</v>
      </c>
    </row>
    <row r="71" spans="1:24" x14ac:dyDescent="0.3">
      <c r="A71">
        <v>229</v>
      </c>
      <c r="B71" t="str">
        <f>HYPERLINK("https://imapinvasives.natureserve.org/imap/services/page/Presence/1151488.html", "View")</f>
        <v>View</v>
      </c>
      <c r="C71">
        <v>1151488</v>
      </c>
      <c r="D71">
        <v>1158378</v>
      </c>
      <c r="E71" t="str">
        <f>HYPERLINK("http://imap3images.s3-website-us-east-1.amazonaws.com/1158378/p/imap_app_photo_1626711570615.jpg", "View")</f>
        <v>View</v>
      </c>
      <c r="F71" t="s">
        <v>89</v>
      </c>
      <c r="G71" t="s">
        <v>90</v>
      </c>
      <c r="H71">
        <v>78882</v>
      </c>
      <c r="I71" t="str">
        <f t="shared" si="4"/>
        <v>View</v>
      </c>
      <c r="J71" t="s">
        <v>89</v>
      </c>
      <c r="K71" t="s">
        <v>96</v>
      </c>
      <c r="L71">
        <v>78882</v>
      </c>
      <c r="M71">
        <v>36.74</v>
      </c>
      <c r="N71">
        <v>98.71</v>
      </c>
      <c r="O71">
        <v>1</v>
      </c>
      <c r="P71" t="s">
        <v>25</v>
      </c>
      <c r="Q71" t="s">
        <v>48</v>
      </c>
      <c r="R71">
        <v>74.05</v>
      </c>
      <c r="S71">
        <v>41.31</v>
      </c>
      <c r="T71" t="s">
        <v>28</v>
      </c>
      <c r="U71" t="s">
        <v>27</v>
      </c>
      <c r="V71" t="s">
        <v>34</v>
      </c>
      <c r="W71" t="s">
        <v>242</v>
      </c>
      <c r="X71" t="s">
        <v>234</v>
      </c>
    </row>
    <row r="72" spans="1:24" x14ac:dyDescent="0.3">
      <c r="A72">
        <v>230</v>
      </c>
      <c r="B72" t="str">
        <f>HYPERLINK("https://imapinvasives.natureserve.org/imap/services/page/Presence/1344270.html", "View")</f>
        <v>View</v>
      </c>
      <c r="C72">
        <v>1344270</v>
      </c>
      <c r="D72">
        <v>1359936</v>
      </c>
      <c r="E72" t="str">
        <f>HYPERLINK("http://imap3images.s3-website-us-east-1.amazonaws.com/1359936/p/imap_app_photo_1690943380621.jpg", "View")</f>
        <v>View</v>
      </c>
      <c r="F72" t="s">
        <v>89</v>
      </c>
      <c r="G72" t="s">
        <v>90</v>
      </c>
      <c r="H72">
        <v>78882</v>
      </c>
      <c r="I72" t="str">
        <f t="shared" si="4"/>
        <v>View</v>
      </c>
      <c r="J72" t="s">
        <v>89</v>
      </c>
      <c r="K72" t="s">
        <v>96</v>
      </c>
      <c r="L72">
        <v>78882</v>
      </c>
      <c r="M72">
        <v>44.44</v>
      </c>
      <c r="N72">
        <v>92.1</v>
      </c>
      <c r="O72">
        <v>1</v>
      </c>
      <c r="P72" t="s">
        <v>25</v>
      </c>
      <c r="Q72" t="s">
        <v>48</v>
      </c>
      <c r="R72">
        <v>74.05</v>
      </c>
      <c r="S72">
        <v>41.31</v>
      </c>
      <c r="T72" t="s">
        <v>28</v>
      </c>
      <c r="U72" t="s">
        <v>28</v>
      </c>
      <c r="V72" t="s">
        <v>34</v>
      </c>
      <c r="W72" t="s">
        <v>241</v>
      </c>
      <c r="X72" t="s">
        <v>232</v>
      </c>
    </row>
    <row r="73" spans="1:24" x14ac:dyDescent="0.3">
      <c r="A73">
        <v>231</v>
      </c>
      <c r="B73" t="str">
        <f>HYPERLINK("https://imapinvasives.natureserve.org/imap/services/page/Presence/1160473.html", "View")</f>
        <v>View</v>
      </c>
      <c r="C73">
        <v>1160473</v>
      </c>
      <c r="D73">
        <v>1167593</v>
      </c>
      <c r="E73" t="str">
        <f>HYPERLINK("http://imap3images.s3-website-us-east-1.amazonaws.com/1167593/p/imap_app_photo_1630276336215.jpg", "View")</f>
        <v>View</v>
      </c>
      <c r="F73" t="s">
        <v>89</v>
      </c>
      <c r="G73" t="s">
        <v>90</v>
      </c>
      <c r="H73">
        <v>78882</v>
      </c>
      <c r="I73" t="str">
        <f t="shared" si="4"/>
        <v>View</v>
      </c>
      <c r="J73" t="s">
        <v>89</v>
      </c>
      <c r="K73" t="s">
        <v>96</v>
      </c>
      <c r="L73">
        <v>78882</v>
      </c>
      <c r="M73">
        <v>36.74</v>
      </c>
      <c r="N73">
        <v>98.75</v>
      </c>
      <c r="O73">
        <v>1</v>
      </c>
      <c r="P73" t="s">
        <v>25</v>
      </c>
      <c r="Q73" t="s">
        <v>48</v>
      </c>
      <c r="R73">
        <v>74.05</v>
      </c>
      <c r="S73">
        <v>41.31</v>
      </c>
      <c r="T73" t="s">
        <v>28</v>
      </c>
      <c r="U73" t="s">
        <v>27</v>
      </c>
      <c r="V73" t="s">
        <v>34</v>
      </c>
      <c r="W73" t="s">
        <v>241</v>
      </c>
      <c r="X73" t="s">
        <v>232</v>
      </c>
    </row>
    <row r="74" spans="1:24" x14ac:dyDescent="0.3">
      <c r="A74">
        <v>232</v>
      </c>
      <c r="B74" t="str">
        <f>HYPERLINK("https://imapinvasives.natureserve.org/imap/services/page/Presence/1279927.html", "View")</f>
        <v>View</v>
      </c>
      <c r="C74">
        <v>1279927</v>
      </c>
      <c r="D74">
        <v>1289293</v>
      </c>
      <c r="E74" t="str">
        <f>HYPERLINK("http://imap3images.s3-website-us-east-1.amazonaws.com/1289293/p/imap_app_photo_1656261484551.jpg", "View")</f>
        <v>View</v>
      </c>
      <c r="F74" t="s">
        <v>89</v>
      </c>
      <c r="G74" t="s">
        <v>90</v>
      </c>
      <c r="H74">
        <v>78882</v>
      </c>
      <c r="I74" t="str">
        <f t="shared" si="4"/>
        <v>View</v>
      </c>
      <c r="J74" t="s">
        <v>89</v>
      </c>
      <c r="K74" t="s">
        <v>96</v>
      </c>
      <c r="L74">
        <v>78882</v>
      </c>
      <c r="M74">
        <v>44.44</v>
      </c>
      <c r="N74">
        <v>99.59</v>
      </c>
      <c r="O74">
        <v>1</v>
      </c>
      <c r="P74" t="s">
        <v>25</v>
      </c>
      <c r="Q74" t="s">
        <v>48</v>
      </c>
      <c r="R74">
        <v>74.05</v>
      </c>
      <c r="S74">
        <v>41.31</v>
      </c>
      <c r="T74" t="s">
        <v>28</v>
      </c>
      <c r="U74" t="s">
        <v>28</v>
      </c>
      <c r="V74" t="s">
        <v>34</v>
      </c>
      <c r="W74" t="s">
        <v>241</v>
      </c>
      <c r="X74" t="s">
        <v>232</v>
      </c>
    </row>
    <row r="75" spans="1:24" x14ac:dyDescent="0.3">
      <c r="A75">
        <v>233</v>
      </c>
      <c r="B75" t="str">
        <f>HYPERLINK("https://imapinvasives.natureserve.org/imap/services/page/Presence/1160510.html", "View")</f>
        <v>View</v>
      </c>
      <c r="C75">
        <v>1160510</v>
      </c>
      <c r="D75">
        <v>1167630</v>
      </c>
      <c r="E75" t="str">
        <f>HYPERLINK("http://imap3images.s3-website-us-east-1.amazonaws.com/1167630/p/imap_app_photo_1630278176031.jpg", "View")</f>
        <v>View</v>
      </c>
      <c r="F75" t="s">
        <v>89</v>
      </c>
      <c r="G75" t="s">
        <v>90</v>
      </c>
      <c r="H75">
        <v>78882</v>
      </c>
      <c r="I75" t="str">
        <f t="shared" si="4"/>
        <v>View</v>
      </c>
      <c r="J75" t="s">
        <v>89</v>
      </c>
      <c r="K75" t="s">
        <v>96</v>
      </c>
      <c r="L75">
        <v>78882</v>
      </c>
      <c r="M75">
        <v>36.74</v>
      </c>
      <c r="N75">
        <v>96.51</v>
      </c>
      <c r="O75">
        <v>1</v>
      </c>
      <c r="P75" t="s">
        <v>25</v>
      </c>
      <c r="Q75" t="s">
        <v>48</v>
      </c>
      <c r="R75">
        <v>74.05</v>
      </c>
      <c r="S75">
        <v>41.31</v>
      </c>
      <c r="T75" t="s">
        <v>28</v>
      </c>
      <c r="U75" t="s">
        <v>27</v>
      </c>
      <c r="V75" t="s">
        <v>34</v>
      </c>
      <c r="W75" t="s">
        <v>241</v>
      </c>
      <c r="X75" t="s">
        <v>232</v>
      </c>
    </row>
    <row r="76" spans="1:24" x14ac:dyDescent="0.3">
      <c r="A76">
        <v>235</v>
      </c>
      <c r="B76" t="str">
        <f>HYPERLINK("https://imapinvasives.natureserve.org/imap/services/page/Presence/1136974.html", "View")</f>
        <v>View</v>
      </c>
      <c r="C76">
        <v>1136974</v>
      </c>
      <c r="D76">
        <v>1143390</v>
      </c>
      <c r="E76" t="str">
        <f>HYPERLINK("http://imap3images.s3-website-us-east-1.amazonaws.com/1143390/p/imap_app_photo_1620671713792.jpg", "View")</f>
        <v>View</v>
      </c>
      <c r="F76" t="s">
        <v>89</v>
      </c>
      <c r="G76" t="s">
        <v>90</v>
      </c>
      <c r="H76">
        <v>78882</v>
      </c>
      <c r="I76" t="str">
        <f t="shared" si="4"/>
        <v>View</v>
      </c>
      <c r="J76" t="s">
        <v>89</v>
      </c>
      <c r="K76" t="s">
        <v>96</v>
      </c>
      <c r="L76">
        <v>78882</v>
      </c>
      <c r="M76">
        <v>36.74</v>
      </c>
      <c r="N76">
        <v>99.52</v>
      </c>
      <c r="O76">
        <v>1</v>
      </c>
      <c r="P76" t="s">
        <v>25</v>
      </c>
      <c r="Q76" t="s">
        <v>48</v>
      </c>
      <c r="R76">
        <v>74.05</v>
      </c>
      <c r="S76">
        <v>41.31</v>
      </c>
      <c r="T76" t="s">
        <v>28</v>
      </c>
      <c r="U76" t="s">
        <v>27</v>
      </c>
      <c r="V76" t="s">
        <v>34</v>
      </c>
      <c r="W76" t="s">
        <v>241</v>
      </c>
      <c r="X76" t="s">
        <v>232</v>
      </c>
    </row>
    <row r="77" spans="1:24" x14ac:dyDescent="0.3">
      <c r="A77">
        <v>236</v>
      </c>
      <c r="B77" t="str">
        <f>HYPERLINK("https://imapinvasives.natureserve.org/imap/services/page/Presence/1042194.html", "View")</f>
        <v>View</v>
      </c>
      <c r="C77">
        <v>1042194</v>
      </c>
      <c r="D77">
        <v>1046035</v>
      </c>
      <c r="E77" t="str">
        <f>HYPERLINK("http://imap3images.s3-website-us-east-1.amazonaws.com/1046035/p/imap_app_photo_1581963750467.jpg", "View")</f>
        <v>View</v>
      </c>
      <c r="F77" t="s">
        <v>89</v>
      </c>
      <c r="G77" t="s">
        <v>90</v>
      </c>
      <c r="H77">
        <v>78882</v>
      </c>
      <c r="I77" t="str">
        <f t="shared" si="4"/>
        <v>View</v>
      </c>
      <c r="J77" t="s">
        <v>89</v>
      </c>
      <c r="K77" t="s">
        <v>96</v>
      </c>
      <c r="L77">
        <v>78882</v>
      </c>
      <c r="M77">
        <v>80.88</v>
      </c>
      <c r="N77">
        <v>99.85</v>
      </c>
      <c r="O77">
        <v>1</v>
      </c>
      <c r="P77" t="s">
        <v>25</v>
      </c>
      <c r="Q77" t="s">
        <v>48</v>
      </c>
      <c r="R77">
        <v>74.05</v>
      </c>
      <c r="S77">
        <v>41.31</v>
      </c>
      <c r="T77" t="s">
        <v>28</v>
      </c>
      <c r="U77" t="s">
        <v>28</v>
      </c>
      <c r="V77" t="s">
        <v>34</v>
      </c>
      <c r="W77" t="s">
        <v>241</v>
      </c>
      <c r="X77" t="s">
        <v>232</v>
      </c>
    </row>
    <row r="78" spans="1:24" x14ac:dyDescent="0.3">
      <c r="A78">
        <v>237</v>
      </c>
      <c r="B78" t="str">
        <f>HYPERLINK("https://imapinvasives.natureserve.org/imap/services/page/Presence/1275090.html", "View")</f>
        <v>View</v>
      </c>
      <c r="C78">
        <v>1275090</v>
      </c>
      <c r="D78">
        <v>1284414</v>
      </c>
      <c r="E78" t="str">
        <f>HYPERLINK("http://imap3images.s3-website-us-east-1.amazonaws.com/1284414/p/imap_app_photo_1655322192032.jpg", "View")</f>
        <v>View</v>
      </c>
      <c r="F78" t="s">
        <v>89</v>
      </c>
      <c r="G78" t="s">
        <v>90</v>
      </c>
      <c r="H78">
        <v>78882</v>
      </c>
      <c r="I78" t="str">
        <f t="shared" si="4"/>
        <v>View</v>
      </c>
      <c r="J78" t="s">
        <v>89</v>
      </c>
      <c r="K78" t="s">
        <v>96</v>
      </c>
      <c r="L78">
        <v>78882</v>
      </c>
      <c r="M78">
        <v>33.18</v>
      </c>
      <c r="N78">
        <v>96.78</v>
      </c>
      <c r="O78">
        <v>1</v>
      </c>
      <c r="P78" t="s">
        <v>25</v>
      </c>
      <c r="Q78" t="s">
        <v>48</v>
      </c>
      <c r="R78">
        <v>74.05</v>
      </c>
      <c r="S78">
        <v>41.31</v>
      </c>
      <c r="T78" t="s">
        <v>28</v>
      </c>
      <c r="U78" t="s">
        <v>27</v>
      </c>
      <c r="V78" t="s">
        <v>34</v>
      </c>
      <c r="W78" t="s">
        <v>241</v>
      </c>
      <c r="X78" t="s">
        <v>232</v>
      </c>
    </row>
    <row r="79" spans="1:24" x14ac:dyDescent="0.3">
      <c r="A79">
        <v>238</v>
      </c>
      <c r="B79" t="str">
        <f>HYPERLINK("https://imapinvasives.natureserve.org/imap/services/page/Presence/1438373.html", "View")</f>
        <v>View</v>
      </c>
      <c r="C79">
        <v>1438373</v>
      </c>
      <c r="D79">
        <v>1452620</v>
      </c>
      <c r="E79" t="str">
        <f>HYPERLINK("http://imap3images.s3-website-us-east-1.amazonaws.com/1452620/p/imap_app_photo_1722435496448.jpg", "View")</f>
        <v>View</v>
      </c>
      <c r="F79" t="s">
        <v>89</v>
      </c>
      <c r="G79" t="s">
        <v>90</v>
      </c>
      <c r="H79">
        <v>78882</v>
      </c>
      <c r="I79" t="str">
        <f t="shared" si="4"/>
        <v>View</v>
      </c>
      <c r="J79" t="s">
        <v>89</v>
      </c>
      <c r="K79" t="s">
        <v>96</v>
      </c>
      <c r="L79">
        <v>78882</v>
      </c>
      <c r="M79">
        <v>45.08</v>
      </c>
      <c r="N79">
        <v>80.650000000000006</v>
      </c>
      <c r="O79">
        <v>1</v>
      </c>
      <c r="P79" t="s">
        <v>25</v>
      </c>
      <c r="Q79" t="s">
        <v>48</v>
      </c>
      <c r="R79">
        <v>74.05</v>
      </c>
      <c r="S79">
        <v>41.31</v>
      </c>
      <c r="T79" t="s">
        <v>28</v>
      </c>
      <c r="U79" t="s">
        <v>28</v>
      </c>
      <c r="V79" t="s">
        <v>34</v>
      </c>
      <c r="W79" t="s">
        <v>241</v>
      </c>
      <c r="X79" t="s">
        <v>232</v>
      </c>
    </row>
    <row r="80" spans="1:24" x14ac:dyDescent="0.3">
      <c r="A80">
        <v>1</v>
      </c>
      <c r="B80" t="str">
        <f>HYPERLINK("https://imapinvasives.natureserve.org/imap/services/page/Presence/1269970.html", "View")</f>
        <v>View</v>
      </c>
      <c r="C80">
        <v>1269970</v>
      </c>
      <c r="D80">
        <v>1278901</v>
      </c>
      <c r="E80" t="str">
        <f>HYPERLINK("http://imap3images.s3-website-us-east-1.amazonaws.com/1278901/p/imap_app_photo_1650161271457.jpg", "View")</f>
        <v>View</v>
      </c>
      <c r="F80" t="s">
        <v>22</v>
      </c>
      <c r="G80" t="s">
        <v>23</v>
      </c>
      <c r="H80">
        <v>61513</v>
      </c>
      <c r="I80" t="str">
        <f>HYPERLINK("https://www.inaturalist.org/taxa/61513-Adelges-tsugae", "View")</f>
        <v>View</v>
      </c>
      <c r="J80" t="s">
        <v>22</v>
      </c>
      <c r="K80" t="s">
        <v>24</v>
      </c>
      <c r="L80">
        <v>61513</v>
      </c>
      <c r="M80">
        <v>32.92</v>
      </c>
      <c r="N80">
        <v>78.56</v>
      </c>
      <c r="O80">
        <v>1</v>
      </c>
      <c r="P80" t="s">
        <v>25</v>
      </c>
      <c r="Q80" t="s">
        <v>26</v>
      </c>
      <c r="R80">
        <v>82.85</v>
      </c>
      <c r="S80">
        <v>21.26</v>
      </c>
      <c r="T80" t="s">
        <v>27</v>
      </c>
      <c r="U80" t="s">
        <v>28</v>
      </c>
      <c r="V80" t="s">
        <v>29</v>
      </c>
      <c r="W80" t="s">
        <v>241</v>
      </c>
    </row>
    <row r="81" spans="1:23" x14ac:dyDescent="0.3">
      <c r="A81">
        <v>2</v>
      </c>
      <c r="B81" t="str">
        <f>HYPERLINK("https://imapinvasives.natureserve.org/imap/services/page/Presence/1391980.html", "View")</f>
        <v>View</v>
      </c>
      <c r="C81">
        <v>1391980</v>
      </c>
      <c r="D81">
        <v>1410113</v>
      </c>
      <c r="E81" t="str">
        <f>HYPERLINK("http://imap3images.s3-website-us-east-1.amazonaws.com/1410113/p/imap_app_photo_1710777494325.jpg", "View")</f>
        <v>View</v>
      </c>
      <c r="F81" t="s">
        <v>22</v>
      </c>
      <c r="G81" t="s">
        <v>23</v>
      </c>
      <c r="H81">
        <v>61513</v>
      </c>
      <c r="I81" t="str">
        <f>HYPERLINK("https://www.inaturalist.org/taxa/61513-Adelges-tsugae", "View")</f>
        <v>View</v>
      </c>
      <c r="J81" t="s">
        <v>22</v>
      </c>
      <c r="K81" t="s">
        <v>24</v>
      </c>
      <c r="L81">
        <v>61513</v>
      </c>
      <c r="M81">
        <v>15.53</v>
      </c>
      <c r="N81">
        <v>64.56</v>
      </c>
      <c r="O81">
        <v>1</v>
      </c>
      <c r="P81" t="s">
        <v>25</v>
      </c>
      <c r="Q81" t="s">
        <v>26</v>
      </c>
      <c r="R81">
        <v>82.85</v>
      </c>
      <c r="S81">
        <v>21.26</v>
      </c>
      <c r="T81" t="s">
        <v>27</v>
      </c>
      <c r="U81" t="s">
        <v>27</v>
      </c>
      <c r="V81" t="s">
        <v>29</v>
      </c>
      <c r="W81" t="s">
        <v>242</v>
      </c>
    </row>
    <row r="82" spans="1:23" x14ac:dyDescent="0.3">
      <c r="A82">
        <v>3</v>
      </c>
      <c r="B82" t="str">
        <f>HYPERLINK("https://imapinvasives.natureserve.org/imap/services/page/Presence/1270879.html", "View")</f>
        <v>View</v>
      </c>
      <c r="C82">
        <v>1270879</v>
      </c>
      <c r="D82">
        <v>1279819</v>
      </c>
      <c r="E82" t="str">
        <f>HYPERLINK("http://imap3images.s3-website-us-east-1.amazonaws.com/1279819/p/imap_app_photo_1650808250980.jpg", "View")</f>
        <v>View</v>
      </c>
      <c r="F82" t="s">
        <v>22</v>
      </c>
      <c r="G82" t="s">
        <v>23</v>
      </c>
      <c r="H82">
        <v>61513</v>
      </c>
      <c r="I82" t="str">
        <f t="shared" ref="I82:I87" si="5">HYPERLINK("https://www.inaturalist.org/taxa/48734-Tsuga-canadensis", "View")</f>
        <v>View</v>
      </c>
      <c r="J82" t="s">
        <v>30</v>
      </c>
      <c r="K82" t="s">
        <v>31</v>
      </c>
      <c r="L82">
        <v>48734</v>
      </c>
      <c r="M82">
        <v>63.3</v>
      </c>
      <c r="N82">
        <v>68.28</v>
      </c>
      <c r="O82">
        <v>0</v>
      </c>
      <c r="P82" t="s">
        <v>32</v>
      </c>
      <c r="Q82" t="s">
        <v>26</v>
      </c>
      <c r="R82">
        <v>82.85</v>
      </c>
      <c r="S82">
        <v>21.26</v>
      </c>
      <c r="T82" t="s">
        <v>27</v>
      </c>
      <c r="U82" t="s">
        <v>28</v>
      </c>
      <c r="V82" t="s">
        <v>29</v>
      </c>
      <c r="W82" t="s">
        <v>242</v>
      </c>
    </row>
    <row r="83" spans="1:23" x14ac:dyDescent="0.3">
      <c r="A83">
        <v>4</v>
      </c>
      <c r="B83" t="str">
        <f>HYPERLINK("https://imapinvasives.natureserve.org/imap/services/page/Presence/1271303.html", "View")</f>
        <v>View</v>
      </c>
      <c r="C83">
        <v>1271303</v>
      </c>
      <c r="D83">
        <v>1280268</v>
      </c>
      <c r="E83" t="str">
        <f>HYPERLINK("http://imap3images.s3-website-us-east-1.amazonaws.com/1280268/p/imap_app_photo_1651371474761.jpg", "View")</f>
        <v>View</v>
      </c>
      <c r="F83" t="s">
        <v>22</v>
      </c>
      <c r="G83" t="s">
        <v>23</v>
      </c>
      <c r="H83">
        <v>61513</v>
      </c>
      <c r="I83" t="str">
        <f t="shared" si="5"/>
        <v>View</v>
      </c>
      <c r="J83" t="s">
        <v>30</v>
      </c>
      <c r="K83" t="s">
        <v>31</v>
      </c>
      <c r="L83">
        <v>48734</v>
      </c>
      <c r="M83">
        <v>63.3</v>
      </c>
      <c r="N83">
        <v>48.3</v>
      </c>
      <c r="O83">
        <v>0</v>
      </c>
      <c r="P83" t="s">
        <v>32</v>
      </c>
      <c r="Q83" t="s">
        <v>26</v>
      </c>
      <c r="R83">
        <v>82.85</v>
      </c>
      <c r="S83">
        <v>21.26</v>
      </c>
      <c r="T83" t="s">
        <v>27</v>
      </c>
      <c r="U83" t="s">
        <v>28</v>
      </c>
      <c r="V83" t="s">
        <v>29</v>
      </c>
      <c r="W83" t="s">
        <v>242</v>
      </c>
    </row>
    <row r="84" spans="1:23" x14ac:dyDescent="0.3">
      <c r="A84">
        <v>5</v>
      </c>
      <c r="B84" t="str">
        <f>HYPERLINK("https://imapinvasives.natureserve.org/imap/services/page/Presence/1270987.html", "View")</f>
        <v>View</v>
      </c>
      <c r="C84">
        <v>1270987</v>
      </c>
      <c r="D84">
        <v>1279927</v>
      </c>
      <c r="E84" t="str">
        <f>HYPERLINK("http://imap3images.s3-website-us-east-1.amazonaws.com/1279927/p/imap_app_photo_1650907687336.jpg", "View")</f>
        <v>View</v>
      </c>
      <c r="F84" t="s">
        <v>22</v>
      </c>
      <c r="G84" t="s">
        <v>23</v>
      </c>
      <c r="H84">
        <v>61513</v>
      </c>
      <c r="I84" t="str">
        <f t="shared" si="5"/>
        <v>View</v>
      </c>
      <c r="J84" t="s">
        <v>30</v>
      </c>
      <c r="K84" t="s">
        <v>31</v>
      </c>
      <c r="L84">
        <v>48734</v>
      </c>
      <c r="M84">
        <v>63.3</v>
      </c>
      <c r="N84">
        <v>39.82</v>
      </c>
      <c r="O84">
        <v>0</v>
      </c>
      <c r="P84" t="s">
        <v>32</v>
      </c>
      <c r="Q84" t="s">
        <v>26</v>
      </c>
      <c r="R84">
        <v>82.85</v>
      </c>
      <c r="S84">
        <v>21.26</v>
      </c>
      <c r="T84" t="s">
        <v>27</v>
      </c>
      <c r="U84" t="s">
        <v>28</v>
      </c>
      <c r="V84" t="s">
        <v>29</v>
      </c>
      <c r="W84" t="s">
        <v>242</v>
      </c>
    </row>
    <row r="85" spans="1:23" x14ac:dyDescent="0.3">
      <c r="A85">
        <v>6</v>
      </c>
      <c r="B85" t="str">
        <f>HYPERLINK("https://imapinvasives.natureserve.org/imap/services/page/Presence/1270055.html", "View")</f>
        <v>View</v>
      </c>
      <c r="C85">
        <v>1270055</v>
      </c>
      <c r="D85">
        <v>1278986</v>
      </c>
      <c r="E85" t="str">
        <f>HYPERLINK("http://imap3images.s3-website-us-east-1.amazonaws.com/1278986/p/imap_app_photo_1650208475905.jpg", "View")</f>
        <v>View</v>
      </c>
      <c r="F85" t="s">
        <v>22</v>
      </c>
      <c r="G85" t="s">
        <v>23</v>
      </c>
      <c r="H85">
        <v>61513</v>
      </c>
      <c r="I85" t="str">
        <f t="shared" si="5"/>
        <v>View</v>
      </c>
      <c r="J85" t="s">
        <v>30</v>
      </c>
      <c r="K85" t="s">
        <v>31</v>
      </c>
      <c r="L85">
        <v>48734</v>
      </c>
      <c r="M85">
        <v>63.3</v>
      </c>
      <c r="N85">
        <v>50.82</v>
      </c>
      <c r="O85">
        <v>0</v>
      </c>
      <c r="P85" t="s">
        <v>32</v>
      </c>
      <c r="Q85" t="s">
        <v>26</v>
      </c>
      <c r="R85">
        <v>82.85</v>
      </c>
      <c r="S85">
        <v>21.26</v>
      </c>
      <c r="T85" t="s">
        <v>27</v>
      </c>
      <c r="U85" t="s">
        <v>28</v>
      </c>
      <c r="V85" t="s">
        <v>29</v>
      </c>
      <c r="W85" t="s">
        <v>241</v>
      </c>
    </row>
    <row r="86" spans="1:23" x14ac:dyDescent="0.3">
      <c r="A86">
        <v>7</v>
      </c>
      <c r="B86" t="str">
        <f>HYPERLINK("https://imapinvasives.natureserve.org/imap/services/page/Presence/1269928.html", "View")</f>
        <v>View</v>
      </c>
      <c r="C86">
        <v>1269928</v>
      </c>
      <c r="D86">
        <v>1278859</v>
      </c>
      <c r="E86" t="str">
        <f>HYPERLINK("http://imap3images.s3-website-us-east-1.amazonaws.com/1278859/p/imap_app_photo_1650154111548.jpg", "View")</f>
        <v>View</v>
      </c>
      <c r="F86" t="s">
        <v>22</v>
      </c>
      <c r="G86" t="s">
        <v>23</v>
      </c>
      <c r="H86">
        <v>61513</v>
      </c>
      <c r="I86" t="str">
        <f t="shared" si="5"/>
        <v>View</v>
      </c>
      <c r="J86" t="s">
        <v>30</v>
      </c>
      <c r="K86" t="s">
        <v>31</v>
      </c>
      <c r="L86">
        <v>48734</v>
      </c>
      <c r="M86">
        <v>63.3</v>
      </c>
      <c r="N86">
        <v>88.61</v>
      </c>
      <c r="O86">
        <v>0</v>
      </c>
      <c r="P86" t="s">
        <v>32</v>
      </c>
      <c r="Q86" t="s">
        <v>26</v>
      </c>
      <c r="R86">
        <v>82.85</v>
      </c>
      <c r="S86">
        <v>21.26</v>
      </c>
      <c r="T86" t="s">
        <v>28</v>
      </c>
      <c r="U86" t="s">
        <v>28</v>
      </c>
      <c r="V86" t="s">
        <v>29</v>
      </c>
      <c r="W86" t="s">
        <v>242</v>
      </c>
    </row>
    <row r="87" spans="1:23" x14ac:dyDescent="0.3">
      <c r="A87">
        <v>8</v>
      </c>
      <c r="B87" t="str">
        <f>HYPERLINK("https://imapinvasives.natureserve.org/imap/services/page/Presence/1323078.html", "View")</f>
        <v>View</v>
      </c>
      <c r="C87">
        <v>1323078</v>
      </c>
      <c r="D87">
        <v>1335215</v>
      </c>
      <c r="E87" t="str">
        <f>HYPERLINK("http://imap3images.s3-website-us-east-1.amazonaws.com/1335215/p/imap_app_photo_1678388844890.jpg", "View")</f>
        <v>View</v>
      </c>
      <c r="F87" t="s">
        <v>22</v>
      </c>
      <c r="G87" t="s">
        <v>23</v>
      </c>
      <c r="H87">
        <v>61513</v>
      </c>
      <c r="I87" t="str">
        <f t="shared" si="5"/>
        <v>View</v>
      </c>
      <c r="J87" t="s">
        <v>30</v>
      </c>
      <c r="K87" t="s">
        <v>31</v>
      </c>
      <c r="L87">
        <v>48734</v>
      </c>
      <c r="M87">
        <v>41.11</v>
      </c>
      <c r="N87">
        <v>13.45</v>
      </c>
      <c r="O87">
        <v>0</v>
      </c>
      <c r="P87" t="s">
        <v>32</v>
      </c>
      <c r="Q87" t="s">
        <v>26</v>
      </c>
      <c r="R87">
        <v>82.85</v>
      </c>
      <c r="S87">
        <v>21.26</v>
      </c>
      <c r="T87" t="s">
        <v>27</v>
      </c>
      <c r="U87" t="s">
        <v>28</v>
      </c>
      <c r="V87" t="s">
        <v>29</v>
      </c>
      <c r="W87" t="s">
        <v>242</v>
      </c>
    </row>
    <row r="88" spans="1:23" x14ac:dyDescent="0.3">
      <c r="A88">
        <v>9</v>
      </c>
      <c r="B88" t="str">
        <f>HYPERLINK("https://imapinvasives.natureserve.org/imap/services/page/Presence/1271037.html", "View")</f>
        <v>View</v>
      </c>
      <c r="C88">
        <v>1271037</v>
      </c>
      <c r="D88">
        <v>1279977</v>
      </c>
      <c r="E88" t="str">
        <f>HYPERLINK("http://imap3images.s3-website-us-east-1.amazonaws.com/1279977/p/imap_app_photo_1650973079859.jpg", "View")</f>
        <v>View</v>
      </c>
      <c r="F88" t="s">
        <v>22</v>
      </c>
      <c r="G88" t="s">
        <v>23</v>
      </c>
      <c r="H88">
        <v>61513</v>
      </c>
      <c r="I88" t="s">
        <v>33</v>
      </c>
      <c r="J88" t="s">
        <v>33</v>
      </c>
      <c r="K88" t="s">
        <v>33</v>
      </c>
      <c r="L88" t="s">
        <v>33</v>
      </c>
      <c r="M88" t="s">
        <v>33</v>
      </c>
      <c r="N88" t="s">
        <v>33</v>
      </c>
      <c r="O88">
        <v>0</v>
      </c>
      <c r="P88" t="s">
        <v>32</v>
      </c>
      <c r="Q88" t="s">
        <v>26</v>
      </c>
      <c r="R88">
        <v>82.85</v>
      </c>
      <c r="S88">
        <v>21.26</v>
      </c>
      <c r="T88" t="s">
        <v>27</v>
      </c>
      <c r="U88" t="s">
        <v>27</v>
      </c>
      <c r="V88" t="s">
        <v>29</v>
      </c>
      <c r="W88" t="s">
        <v>242</v>
      </c>
    </row>
    <row r="89" spans="1:23" x14ac:dyDescent="0.3">
      <c r="A89">
        <v>10</v>
      </c>
      <c r="B89" t="str">
        <f>HYPERLINK("https://imapinvasives.natureserve.org/imap/services/page/Presence/1271014.html", "View")</f>
        <v>View</v>
      </c>
      <c r="C89">
        <v>1271014</v>
      </c>
      <c r="D89">
        <v>1279954</v>
      </c>
      <c r="E89" t="str">
        <f>HYPERLINK("http://imap3images.s3-website-us-east-1.amazonaws.com/1279954/p/imap_app_photo_1650937472481.jpg", "View")</f>
        <v>View</v>
      </c>
      <c r="F89" t="s">
        <v>22</v>
      </c>
      <c r="G89" t="s">
        <v>23</v>
      </c>
      <c r="H89">
        <v>61513</v>
      </c>
      <c r="I89" t="s">
        <v>33</v>
      </c>
      <c r="J89" t="s">
        <v>33</v>
      </c>
      <c r="K89" t="s">
        <v>33</v>
      </c>
      <c r="L89" t="s">
        <v>33</v>
      </c>
      <c r="M89" t="s">
        <v>33</v>
      </c>
      <c r="N89" t="s">
        <v>33</v>
      </c>
      <c r="O89">
        <v>0</v>
      </c>
      <c r="P89" t="s">
        <v>32</v>
      </c>
      <c r="Q89" t="s">
        <v>26</v>
      </c>
      <c r="R89">
        <v>82.85</v>
      </c>
      <c r="S89">
        <v>21.26</v>
      </c>
      <c r="T89" t="s">
        <v>27</v>
      </c>
      <c r="U89" t="s">
        <v>27</v>
      </c>
      <c r="V89" t="s">
        <v>29</v>
      </c>
      <c r="W89" t="s">
        <v>242</v>
      </c>
    </row>
    <row r="90" spans="1:23" x14ac:dyDescent="0.3">
      <c r="A90">
        <v>11</v>
      </c>
      <c r="B90" t="str">
        <f>HYPERLINK("https://imapinvasives.natureserve.org/imap/services/page/Presence/1270929.html", "View")</f>
        <v>View</v>
      </c>
      <c r="C90">
        <v>1270929</v>
      </c>
      <c r="D90">
        <v>1279869</v>
      </c>
      <c r="E90" t="str">
        <f>HYPERLINK("http://imap3images.s3-website-us-east-1.amazonaws.com/1279869/p/imap_app_photo_1650853260541.jpg", "View")</f>
        <v>View</v>
      </c>
      <c r="F90" t="s">
        <v>22</v>
      </c>
      <c r="G90" t="s">
        <v>23</v>
      </c>
      <c r="H90">
        <v>61513</v>
      </c>
      <c r="I90" t="s">
        <v>33</v>
      </c>
      <c r="J90" t="s">
        <v>33</v>
      </c>
      <c r="K90" t="s">
        <v>33</v>
      </c>
      <c r="L90" t="s">
        <v>33</v>
      </c>
      <c r="M90" t="s">
        <v>33</v>
      </c>
      <c r="N90" t="s">
        <v>33</v>
      </c>
      <c r="O90">
        <v>0</v>
      </c>
      <c r="P90" t="s">
        <v>32</v>
      </c>
      <c r="Q90" t="s">
        <v>26</v>
      </c>
      <c r="R90">
        <v>82.85</v>
      </c>
      <c r="S90">
        <v>21.26</v>
      </c>
      <c r="T90" t="s">
        <v>27</v>
      </c>
      <c r="U90" t="s">
        <v>27</v>
      </c>
      <c r="V90" t="s">
        <v>29</v>
      </c>
      <c r="W90" t="s">
        <v>242</v>
      </c>
    </row>
    <row r="91" spans="1:23" x14ac:dyDescent="0.3">
      <c r="A91">
        <v>13</v>
      </c>
      <c r="B91" t="str">
        <f>HYPERLINK("https://imapinvasives.natureserve.org/imap/services/page/Presence/1269959.html", "View")</f>
        <v>View</v>
      </c>
      <c r="C91">
        <v>1269959</v>
      </c>
      <c r="D91">
        <v>1278890</v>
      </c>
      <c r="E91" t="str">
        <f>HYPERLINK("http://imap3images.s3-website-us-east-1.amazonaws.com/1278890/p/imap_app_photo_1650157902070.jpg", "View")</f>
        <v>View</v>
      </c>
      <c r="F91" t="s">
        <v>22</v>
      </c>
      <c r="G91" t="s">
        <v>23</v>
      </c>
      <c r="H91">
        <v>61513</v>
      </c>
      <c r="I91" t="str">
        <f>HYPERLINK("https://www.inaturalist.org/taxa/61513-Adelges-tsugae", "View")</f>
        <v>View</v>
      </c>
      <c r="J91" t="s">
        <v>22</v>
      </c>
      <c r="K91" t="s">
        <v>24</v>
      </c>
      <c r="L91">
        <v>61513</v>
      </c>
      <c r="M91">
        <v>32.92</v>
      </c>
      <c r="N91">
        <v>60.67</v>
      </c>
      <c r="O91">
        <v>1</v>
      </c>
      <c r="P91" t="s">
        <v>25</v>
      </c>
      <c r="Q91" t="s">
        <v>26</v>
      </c>
      <c r="R91">
        <v>82.85</v>
      </c>
      <c r="S91">
        <v>21.26</v>
      </c>
      <c r="T91" t="s">
        <v>27</v>
      </c>
      <c r="U91" t="s">
        <v>28</v>
      </c>
      <c r="V91" t="s">
        <v>29</v>
      </c>
      <c r="W91" t="s">
        <v>242</v>
      </c>
    </row>
    <row r="92" spans="1:23" x14ac:dyDescent="0.3">
      <c r="A92">
        <v>14</v>
      </c>
      <c r="B92" t="str">
        <f>HYPERLINK("https://imapinvasives.natureserve.org/imap/services/page/Presence/1269940.html", "View")</f>
        <v>View</v>
      </c>
      <c r="C92">
        <v>1269940</v>
      </c>
      <c r="D92">
        <v>1278871</v>
      </c>
      <c r="E92" t="str">
        <f>HYPERLINK("http://imap3images.s3-website-us-east-1.amazonaws.com/1278871/p/imap_app_photo_1650154943579.jpg", "View")</f>
        <v>View</v>
      </c>
      <c r="F92" t="s">
        <v>22</v>
      </c>
      <c r="G92" t="s">
        <v>23</v>
      </c>
      <c r="H92">
        <v>61513</v>
      </c>
      <c r="I92" t="str">
        <f>HYPERLINK("https://www.inaturalist.org/taxa/61513-Adelges-tsugae", "View")</f>
        <v>View</v>
      </c>
      <c r="J92" t="s">
        <v>22</v>
      </c>
      <c r="K92" t="s">
        <v>24</v>
      </c>
      <c r="L92">
        <v>61513</v>
      </c>
      <c r="M92">
        <v>32.92</v>
      </c>
      <c r="N92">
        <v>56.47</v>
      </c>
      <c r="O92">
        <v>1</v>
      </c>
      <c r="P92" t="s">
        <v>25</v>
      </c>
      <c r="Q92" t="s">
        <v>26</v>
      </c>
      <c r="R92">
        <v>82.85</v>
      </c>
      <c r="S92">
        <v>21.26</v>
      </c>
      <c r="T92" t="s">
        <v>27</v>
      </c>
      <c r="U92" t="s">
        <v>28</v>
      </c>
      <c r="V92" t="s">
        <v>29</v>
      </c>
      <c r="W92" t="s">
        <v>241</v>
      </c>
    </row>
    <row r="93" spans="1:23" x14ac:dyDescent="0.3">
      <c r="A93">
        <v>15</v>
      </c>
      <c r="B93" t="str">
        <f>HYPERLINK("https://imapinvasives.natureserve.org/imap/services/page/Presence/1410198.html", "View")</f>
        <v>View</v>
      </c>
      <c r="C93">
        <v>1410198</v>
      </c>
      <c r="D93">
        <v>1422648</v>
      </c>
      <c r="E93" t="str">
        <f>HYPERLINK("http://imap3images.s3-website-us-east-1.amazonaws.com/1422648/p/imap_app_photo_1717448181295.jpg", "View")</f>
        <v>View</v>
      </c>
      <c r="F93" t="s">
        <v>22</v>
      </c>
      <c r="G93" t="s">
        <v>23</v>
      </c>
      <c r="H93">
        <v>61513</v>
      </c>
      <c r="I93" t="str">
        <f>HYPERLINK("https://www.inaturalist.org/taxa/121931-Picea-rubens", "View")</f>
        <v>View</v>
      </c>
      <c r="J93" t="s">
        <v>35</v>
      </c>
      <c r="K93" t="s">
        <v>36</v>
      </c>
      <c r="L93">
        <v>121931</v>
      </c>
      <c r="M93">
        <v>5.53</v>
      </c>
      <c r="N93">
        <v>36.729999999999997</v>
      </c>
      <c r="O93">
        <v>0</v>
      </c>
      <c r="P93" t="s">
        <v>32</v>
      </c>
      <c r="Q93" t="s">
        <v>26</v>
      </c>
      <c r="R93">
        <v>82.85</v>
      </c>
      <c r="S93">
        <v>21.26</v>
      </c>
      <c r="T93" t="s">
        <v>27</v>
      </c>
      <c r="U93" t="s">
        <v>27</v>
      </c>
      <c r="V93" t="s">
        <v>29</v>
      </c>
      <c r="W93" t="s">
        <v>242</v>
      </c>
    </row>
    <row r="94" spans="1:23" x14ac:dyDescent="0.3">
      <c r="A94">
        <v>16</v>
      </c>
      <c r="B94" t="str">
        <f>HYPERLINK("https://imapinvasives.natureserve.org/imap/services/page/Presence/1271255.html", "View")</f>
        <v>View</v>
      </c>
      <c r="C94">
        <v>1271255</v>
      </c>
      <c r="D94">
        <v>1280220</v>
      </c>
      <c r="E94" t="str">
        <f>HYPERLINK("http://imap3images.s3-website-us-east-1.amazonaws.com/1280220/p/imap_app_photo_1651368880167.jpg", "View")</f>
        <v>View</v>
      </c>
      <c r="F94" t="s">
        <v>22</v>
      </c>
      <c r="G94" t="s">
        <v>23</v>
      </c>
      <c r="H94">
        <v>61513</v>
      </c>
      <c r="I94" t="str">
        <f>HYPERLINK("https://www.inaturalist.org/taxa/48734-Tsuga-canadensis", "View")</f>
        <v>View</v>
      </c>
      <c r="J94" t="s">
        <v>30</v>
      </c>
      <c r="K94" t="s">
        <v>31</v>
      </c>
      <c r="L94">
        <v>48734</v>
      </c>
      <c r="M94">
        <v>63.3</v>
      </c>
      <c r="N94">
        <v>42.77</v>
      </c>
      <c r="O94">
        <v>0</v>
      </c>
      <c r="P94" t="s">
        <v>32</v>
      </c>
      <c r="Q94" t="s">
        <v>26</v>
      </c>
      <c r="R94">
        <v>82.85</v>
      </c>
      <c r="S94">
        <v>21.26</v>
      </c>
      <c r="T94" t="s">
        <v>27</v>
      </c>
      <c r="U94" t="s">
        <v>28</v>
      </c>
      <c r="V94" t="s">
        <v>29</v>
      </c>
      <c r="W94" t="s">
        <v>242</v>
      </c>
    </row>
    <row r="95" spans="1:23" x14ac:dyDescent="0.3">
      <c r="A95">
        <v>17</v>
      </c>
      <c r="B95" t="str">
        <f>HYPERLINK("https://imapinvasives.natureserve.org/imap/services/page/Presence/1271035.html", "View")</f>
        <v>View</v>
      </c>
      <c r="C95">
        <v>1271035</v>
      </c>
      <c r="D95">
        <v>1279975</v>
      </c>
      <c r="E95" t="str">
        <f>HYPERLINK("http://imap3images.s3-website-us-east-1.amazonaws.com/1279975/p/imap_app_photo_1650973051126.jpg", "View")</f>
        <v>View</v>
      </c>
      <c r="F95" t="s">
        <v>22</v>
      </c>
      <c r="G95" t="s">
        <v>23</v>
      </c>
      <c r="H95">
        <v>61513</v>
      </c>
      <c r="I95" t="str">
        <f>HYPERLINK("https://www.inaturalist.org/taxa/48734-Tsuga-canadensis", "View")</f>
        <v>View</v>
      </c>
      <c r="J95" t="s">
        <v>30</v>
      </c>
      <c r="K95" t="s">
        <v>31</v>
      </c>
      <c r="L95">
        <v>48734</v>
      </c>
      <c r="M95">
        <v>63.3</v>
      </c>
      <c r="N95">
        <v>89.92</v>
      </c>
      <c r="O95">
        <v>0</v>
      </c>
      <c r="P95" t="s">
        <v>32</v>
      </c>
      <c r="Q95" t="s">
        <v>26</v>
      </c>
      <c r="R95">
        <v>82.85</v>
      </c>
      <c r="S95">
        <v>21.26</v>
      </c>
      <c r="T95" t="s">
        <v>28</v>
      </c>
      <c r="U95" t="s">
        <v>28</v>
      </c>
      <c r="V95" t="s">
        <v>29</v>
      </c>
      <c r="W95" t="s">
        <v>242</v>
      </c>
    </row>
    <row r="96" spans="1:23" x14ac:dyDescent="0.3">
      <c r="A96">
        <v>18</v>
      </c>
      <c r="B96" t="str">
        <f>HYPERLINK("https://imapinvasives.natureserve.org/imap/services/page/Presence/1249866.html", "View")</f>
        <v>View</v>
      </c>
      <c r="C96">
        <v>1249866</v>
      </c>
      <c r="D96">
        <v>1258149</v>
      </c>
      <c r="E96" t="str">
        <f>HYPERLINK("http://imap3images.s3-website-us-east-1.amazonaws.com/1258149/p/imap_app_photo_1643119396263.jpg", "View")</f>
        <v>View</v>
      </c>
      <c r="F96" t="s">
        <v>22</v>
      </c>
      <c r="G96" t="s">
        <v>23</v>
      </c>
      <c r="H96">
        <v>61513</v>
      </c>
      <c r="I96" t="str">
        <f>HYPERLINK("https://www.inaturalist.org/taxa/447063-Fiorinia-externa", "View")</f>
        <v>View</v>
      </c>
      <c r="J96" t="s">
        <v>37</v>
      </c>
      <c r="K96" t="s">
        <v>38</v>
      </c>
      <c r="L96">
        <v>447063</v>
      </c>
      <c r="M96">
        <v>3.69</v>
      </c>
      <c r="N96">
        <v>74.16</v>
      </c>
      <c r="O96">
        <v>0</v>
      </c>
      <c r="P96" t="s">
        <v>32</v>
      </c>
      <c r="Q96" t="s">
        <v>26</v>
      </c>
      <c r="R96">
        <v>82.85</v>
      </c>
      <c r="S96">
        <v>21.26</v>
      </c>
      <c r="T96" t="s">
        <v>27</v>
      </c>
      <c r="U96" t="s">
        <v>27</v>
      </c>
      <c r="V96" t="s">
        <v>29</v>
      </c>
      <c r="W96" t="s">
        <v>241</v>
      </c>
    </row>
    <row r="97" spans="1:23" x14ac:dyDescent="0.3">
      <c r="A97">
        <v>19</v>
      </c>
      <c r="B97" t="str">
        <f>HYPERLINK("https://imapinvasives.natureserve.org/imap/services/page/Presence/1322554.html", "View")</f>
        <v>View</v>
      </c>
      <c r="C97">
        <v>1322554</v>
      </c>
      <c r="D97">
        <v>1334668</v>
      </c>
      <c r="E97" t="str">
        <f>HYPERLINK("http://imap3images.s3-website-us-east-1.amazonaws.com/1334668/p/imap_app_photo_1676937442204.jpg", "View")</f>
        <v>View</v>
      </c>
      <c r="F97" t="s">
        <v>22</v>
      </c>
      <c r="G97" t="s">
        <v>23</v>
      </c>
      <c r="H97">
        <v>61513</v>
      </c>
      <c r="I97" t="str">
        <f>HYPERLINK("https://www.inaturalist.org/taxa/61513-Adelges-tsugae", "View")</f>
        <v>View</v>
      </c>
      <c r="J97" t="s">
        <v>22</v>
      </c>
      <c r="K97" t="s">
        <v>24</v>
      </c>
      <c r="L97">
        <v>61513</v>
      </c>
      <c r="M97">
        <v>12.99</v>
      </c>
      <c r="N97">
        <v>56.45</v>
      </c>
      <c r="O97">
        <v>1</v>
      </c>
      <c r="P97" t="s">
        <v>25</v>
      </c>
      <c r="Q97" t="s">
        <v>26</v>
      </c>
      <c r="R97">
        <v>82.85</v>
      </c>
      <c r="S97">
        <v>21.26</v>
      </c>
      <c r="T97" t="s">
        <v>27</v>
      </c>
      <c r="U97" t="s">
        <v>27</v>
      </c>
      <c r="V97" t="s">
        <v>29</v>
      </c>
      <c r="W97" t="s">
        <v>241</v>
      </c>
    </row>
    <row r="98" spans="1:23" x14ac:dyDescent="0.3">
      <c r="A98">
        <v>20</v>
      </c>
      <c r="B98" t="str">
        <f>HYPERLINK("https://imapinvasives.natureserve.org/imap/services/page/Presence/1271432.html", "View")</f>
        <v>View</v>
      </c>
      <c r="C98">
        <v>1271432</v>
      </c>
      <c r="D98">
        <v>1280398</v>
      </c>
      <c r="E98" t="str">
        <f>HYPERLINK("http://imap3images.s3-website-us-east-1.amazonaws.com/1280398/p/imap_app_photo_1651515064998.jpg", "View")</f>
        <v>View</v>
      </c>
      <c r="F98" t="s">
        <v>22</v>
      </c>
      <c r="G98" t="s">
        <v>23</v>
      </c>
      <c r="H98">
        <v>61513</v>
      </c>
      <c r="I98" t="s">
        <v>33</v>
      </c>
      <c r="J98" t="s">
        <v>33</v>
      </c>
      <c r="K98" t="s">
        <v>33</v>
      </c>
      <c r="L98" t="s">
        <v>33</v>
      </c>
      <c r="M98" t="s">
        <v>33</v>
      </c>
      <c r="N98" t="s">
        <v>33</v>
      </c>
      <c r="O98">
        <v>0</v>
      </c>
      <c r="P98" t="s">
        <v>32</v>
      </c>
      <c r="Q98" t="s">
        <v>26</v>
      </c>
      <c r="R98">
        <v>82.85</v>
      </c>
      <c r="S98">
        <v>21.26</v>
      </c>
      <c r="T98" t="s">
        <v>27</v>
      </c>
      <c r="U98" t="s">
        <v>27</v>
      </c>
      <c r="V98" t="s">
        <v>29</v>
      </c>
      <c r="W98" t="s">
        <v>242</v>
      </c>
    </row>
    <row r="99" spans="1:23" x14ac:dyDescent="0.3">
      <c r="A99">
        <v>22</v>
      </c>
      <c r="B99" t="str">
        <f>HYPERLINK("https://imapinvasives.natureserve.org/imap/services/page/Presence/1271455.html", "View")</f>
        <v>View</v>
      </c>
      <c r="C99">
        <v>1271455</v>
      </c>
      <c r="D99">
        <v>1280421</v>
      </c>
      <c r="E99" t="str">
        <f>HYPERLINK("http://imap3images.s3-website-us-east-1.amazonaws.com/1280421/p/imap_app_photo_1651528118449.jpg", "View")</f>
        <v>View</v>
      </c>
      <c r="F99" t="s">
        <v>22</v>
      </c>
      <c r="G99" t="s">
        <v>23</v>
      </c>
      <c r="H99">
        <v>61513</v>
      </c>
      <c r="I99" t="str">
        <f>HYPERLINK("https://www.inaturalist.org/taxa/54802-Nyssa-sylvatica", "View")</f>
        <v>View</v>
      </c>
      <c r="J99" t="s">
        <v>39</v>
      </c>
      <c r="K99" t="s">
        <v>40</v>
      </c>
      <c r="L99">
        <v>54802</v>
      </c>
      <c r="M99">
        <v>24.43</v>
      </c>
      <c r="N99">
        <v>31.28</v>
      </c>
      <c r="O99">
        <v>0</v>
      </c>
      <c r="P99" t="s">
        <v>32</v>
      </c>
      <c r="Q99" t="s">
        <v>26</v>
      </c>
      <c r="R99">
        <v>82.85</v>
      </c>
      <c r="S99">
        <v>21.26</v>
      </c>
      <c r="T99" t="s">
        <v>27</v>
      </c>
      <c r="U99" t="s">
        <v>28</v>
      </c>
      <c r="V99" t="s">
        <v>29</v>
      </c>
      <c r="W99" t="s">
        <v>242</v>
      </c>
    </row>
    <row r="100" spans="1:23" x14ac:dyDescent="0.3">
      <c r="A100">
        <v>23</v>
      </c>
      <c r="B100" t="str">
        <f>HYPERLINK("https://imapinvasives.natureserve.org/imap/services/page/Presence/1386214.html", "View")</f>
        <v>View</v>
      </c>
      <c r="C100">
        <v>1386214</v>
      </c>
      <c r="D100">
        <v>1404313</v>
      </c>
      <c r="E100" t="str">
        <f>HYPERLINK("http://imap3images.s3-website-us-east-1.amazonaws.com/1404313/p/imap_app_photo_1707789826761.jpg", "View")</f>
        <v>View</v>
      </c>
      <c r="F100" t="s">
        <v>22</v>
      </c>
      <c r="G100" t="s">
        <v>23</v>
      </c>
      <c r="H100">
        <v>61513</v>
      </c>
      <c r="I100" t="str">
        <f>HYPERLINK("https://www.inaturalist.org/taxa/61513-Adelges-tsugae", "View")</f>
        <v>View</v>
      </c>
      <c r="J100" t="s">
        <v>22</v>
      </c>
      <c r="K100" t="s">
        <v>24</v>
      </c>
      <c r="L100">
        <v>61513</v>
      </c>
      <c r="M100">
        <v>13.11</v>
      </c>
      <c r="N100">
        <v>79.819999999999993</v>
      </c>
      <c r="O100">
        <v>1</v>
      </c>
      <c r="P100" t="s">
        <v>25</v>
      </c>
      <c r="Q100" t="s">
        <v>26</v>
      </c>
      <c r="R100">
        <v>82.85</v>
      </c>
      <c r="S100">
        <v>21.26</v>
      </c>
      <c r="T100" t="s">
        <v>27</v>
      </c>
      <c r="U100" t="s">
        <v>27</v>
      </c>
      <c r="V100" t="s">
        <v>29</v>
      </c>
      <c r="W100" t="s">
        <v>241</v>
      </c>
    </row>
    <row r="101" spans="1:23" x14ac:dyDescent="0.3">
      <c r="A101">
        <v>24</v>
      </c>
      <c r="B101" t="str">
        <f>HYPERLINK("https://imapinvasives.natureserve.org/imap/services/page/Presence/1322052.html", "View")</f>
        <v>View</v>
      </c>
      <c r="C101">
        <v>1322052</v>
      </c>
      <c r="D101">
        <v>1334044</v>
      </c>
      <c r="E101" t="str">
        <f>HYPERLINK("http://imap3images.s3-website-us-east-1.amazonaws.com/1334044/p/imap_app_photo_1676574581537.jpg", "View")</f>
        <v>View</v>
      </c>
      <c r="F101" t="s">
        <v>22</v>
      </c>
      <c r="G101" t="s">
        <v>23</v>
      </c>
      <c r="H101">
        <v>61513</v>
      </c>
      <c r="I101" t="str">
        <f>HYPERLINK("https://www.inaturalist.org/taxa/48734-Tsuga-canadensis", "View")</f>
        <v>View</v>
      </c>
      <c r="J101" t="s">
        <v>30</v>
      </c>
      <c r="K101" t="s">
        <v>31</v>
      </c>
      <c r="L101">
        <v>48734</v>
      </c>
      <c r="M101">
        <v>32.04</v>
      </c>
      <c r="N101">
        <v>44.9</v>
      </c>
      <c r="O101">
        <v>0</v>
      </c>
      <c r="P101" t="s">
        <v>32</v>
      </c>
      <c r="Q101" t="s">
        <v>26</v>
      </c>
      <c r="R101">
        <v>82.85</v>
      </c>
      <c r="S101">
        <v>21.26</v>
      </c>
      <c r="T101" t="s">
        <v>27</v>
      </c>
      <c r="U101" t="s">
        <v>28</v>
      </c>
      <c r="V101" t="s">
        <v>29</v>
      </c>
      <c r="W101" t="s">
        <v>242</v>
      </c>
    </row>
    <row r="102" spans="1:23" x14ac:dyDescent="0.3">
      <c r="A102">
        <v>25</v>
      </c>
      <c r="B102" t="str">
        <f>HYPERLINK("https://imapinvasives.natureserve.org/imap/services/page/Presence/1271224.html", "View")</f>
        <v>View</v>
      </c>
      <c r="C102">
        <v>1271224</v>
      </c>
      <c r="D102">
        <v>1280189</v>
      </c>
      <c r="E102" t="str">
        <f>HYPERLINK("http://imap3images.s3-website-us-east-1.amazonaws.com/1280189/p/imap_app_photo_1651360836556.jpg", "View")</f>
        <v>View</v>
      </c>
      <c r="F102" t="s">
        <v>22</v>
      </c>
      <c r="G102" t="s">
        <v>23</v>
      </c>
      <c r="H102">
        <v>61513</v>
      </c>
      <c r="I102" t="str">
        <f>HYPERLINK("https://www.inaturalist.org/taxa/49884-Betula-populifolia", "View")</f>
        <v>View</v>
      </c>
      <c r="J102" t="s">
        <v>41</v>
      </c>
      <c r="K102" t="s">
        <v>42</v>
      </c>
      <c r="L102">
        <v>49884</v>
      </c>
      <c r="M102">
        <v>28.95</v>
      </c>
      <c r="N102">
        <v>26.8</v>
      </c>
      <c r="O102">
        <v>0</v>
      </c>
      <c r="P102" t="s">
        <v>32</v>
      </c>
      <c r="Q102" t="s">
        <v>26</v>
      </c>
      <c r="R102">
        <v>82.85</v>
      </c>
      <c r="S102">
        <v>21.26</v>
      </c>
      <c r="T102" t="s">
        <v>27</v>
      </c>
      <c r="U102" t="s">
        <v>28</v>
      </c>
      <c r="V102" t="s">
        <v>29</v>
      </c>
      <c r="W102" t="s">
        <v>242</v>
      </c>
    </row>
    <row r="103" spans="1:23" x14ac:dyDescent="0.3">
      <c r="A103">
        <v>26</v>
      </c>
      <c r="B103" t="str">
        <f>HYPERLINK("https://imapinvasives.natureserve.org/imap/services/page/Presence/1323089.html", "View")</f>
        <v>View</v>
      </c>
      <c r="C103">
        <v>1323089</v>
      </c>
      <c r="D103">
        <v>1335226</v>
      </c>
      <c r="E103" t="str">
        <f>HYPERLINK("http://imap3images.s3-website-us-east-1.amazonaws.com/1335226/p/imap_app_photo_1678388907916.jpg", "View")</f>
        <v>View</v>
      </c>
      <c r="F103" t="s">
        <v>22</v>
      </c>
      <c r="G103" t="s">
        <v>23</v>
      </c>
      <c r="H103">
        <v>61513</v>
      </c>
      <c r="I103" t="str">
        <f>HYPERLINK("https://www.inaturalist.org/taxa/48734-Tsuga-canadensis", "View")</f>
        <v>View</v>
      </c>
      <c r="J103" t="s">
        <v>30</v>
      </c>
      <c r="K103" t="s">
        <v>31</v>
      </c>
      <c r="L103">
        <v>48734</v>
      </c>
      <c r="M103">
        <v>41.11</v>
      </c>
      <c r="N103">
        <v>51.33</v>
      </c>
      <c r="O103">
        <v>0</v>
      </c>
      <c r="P103" t="s">
        <v>32</v>
      </c>
      <c r="Q103" t="s">
        <v>26</v>
      </c>
      <c r="R103">
        <v>82.85</v>
      </c>
      <c r="S103">
        <v>21.26</v>
      </c>
      <c r="T103" t="s">
        <v>27</v>
      </c>
      <c r="U103" t="s">
        <v>28</v>
      </c>
      <c r="V103" t="s">
        <v>29</v>
      </c>
      <c r="W103" t="s">
        <v>242</v>
      </c>
    </row>
    <row r="104" spans="1:23" x14ac:dyDescent="0.3">
      <c r="A104">
        <v>27</v>
      </c>
      <c r="B104" t="str">
        <f>HYPERLINK("https://imapinvasives.natureserve.org/imap/services/page/Presence/1158522.html", "View")</f>
        <v>View</v>
      </c>
      <c r="C104">
        <v>1158522</v>
      </c>
      <c r="D104">
        <v>1165594</v>
      </c>
      <c r="E104" t="str">
        <f>HYPERLINK("http://imap3images.s3-website-us-east-1.amazonaws.com/1165594/p/imap_app_photo_1629138269566.jpg", "View")</f>
        <v>View</v>
      </c>
      <c r="F104" t="s">
        <v>22</v>
      </c>
      <c r="G104" t="s">
        <v>23</v>
      </c>
      <c r="H104">
        <v>61513</v>
      </c>
      <c r="I104" t="s">
        <v>33</v>
      </c>
      <c r="J104" t="s">
        <v>33</v>
      </c>
      <c r="K104" t="s">
        <v>33</v>
      </c>
      <c r="L104" t="s">
        <v>33</v>
      </c>
      <c r="M104" t="s">
        <v>33</v>
      </c>
      <c r="N104" t="s">
        <v>33</v>
      </c>
      <c r="O104">
        <v>0</v>
      </c>
      <c r="P104" t="s">
        <v>32</v>
      </c>
      <c r="Q104" t="s">
        <v>26</v>
      </c>
      <c r="R104">
        <v>82.85</v>
      </c>
      <c r="S104">
        <v>21.26</v>
      </c>
      <c r="T104" t="s">
        <v>27</v>
      </c>
      <c r="U104" t="s">
        <v>27</v>
      </c>
      <c r="V104" t="s">
        <v>29</v>
      </c>
      <c r="W104" t="s">
        <v>242</v>
      </c>
    </row>
    <row r="105" spans="1:23" x14ac:dyDescent="0.3">
      <c r="A105">
        <v>28</v>
      </c>
      <c r="B105" t="str">
        <f>HYPERLINK("https://imapinvasives.natureserve.org/imap/services/page/Presence/1270880.html", "View")</f>
        <v>View</v>
      </c>
      <c r="C105">
        <v>1270880</v>
      </c>
      <c r="D105">
        <v>1279820</v>
      </c>
      <c r="E105" t="str">
        <f>HYPERLINK("http://imap3images.s3-website-us-east-1.amazonaws.com/1279820/p/imap_app_photo_1650808269000.jpg", "View")</f>
        <v>View</v>
      </c>
      <c r="F105" t="s">
        <v>22</v>
      </c>
      <c r="G105" t="s">
        <v>23</v>
      </c>
      <c r="H105">
        <v>61513</v>
      </c>
      <c r="I105" t="str">
        <f>HYPERLINK("https://www.inaturalist.org/taxa/48734-Tsuga-canadensis", "View")</f>
        <v>View</v>
      </c>
      <c r="J105" t="s">
        <v>30</v>
      </c>
      <c r="K105" t="s">
        <v>31</v>
      </c>
      <c r="L105">
        <v>48734</v>
      </c>
      <c r="M105">
        <v>63.3</v>
      </c>
      <c r="N105">
        <v>97.79</v>
      </c>
      <c r="O105">
        <v>0</v>
      </c>
      <c r="P105" t="s">
        <v>32</v>
      </c>
      <c r="Q105" t="s">
        <v>26</v>
      </c>
      <c r="R105">
        <v>82.85</v>
      </c>
      <c r="S105">
        <v>21.26</v>
      </c>
      <c r="T105" t="s">
        <v>28</v>
      </c>
      <c r="U105" t="s">
        <v>28</v>
      </c>
      <c r="V105" t="s">
        <v>29</v>
      </c>
      <c r="W105" t="s">
        <v>242</v>
      </c>
    </row>
    <row r="106" spans="1:23" x14ac:dyDescent="0.3">
      <c r="A106">
        <v>29</v>
      </c>
      <c r="B106" t="str">
        <f>HYPERLINK("https://imapinvasives.natureserve.org/imap/services/page/Presence/1270945.html", "View")</f>
        <v>View</v>
      </c>
      <c r="C106">
        <v>1270945</v>
      </c>
      <c r="D106">
        <v>1279885</v>
      </c>
      <c r="E106" t="str">
        <f>HYPERLINK("http://imap3images.s3-website-us-east-1.amazonaws.com/1279885/p/imap_app_photo_1650897027747.jpg", "View")</f>
        <v>View</v>
      </c>
      <c r="F106" t="s">
        <v>22</v>
      </c>
      <c r="G106" t="s">
        <v>23</v>
      </c>
      <c r="H106">
        <v>61513</v>
      </c>
      <c r="I106" t="str">
        <f>HYPERLINK("https://www.inaturalist.org/taxa/52391-Pinus-strobus", "View")</f>
        <v>View</v>
      </c>
      <c r="J106" t="s">
        <v>43</v>
      </c>
      <c r="K106" t="s">
        <v>44</v>
      </c>
      <c r="L106">
        <v>52391</v>
      </c>
      <c r="M106">
        <v>73.27</v>
      </c>
      <c r="N106">
        <v>33.909999999999997</v>
      </c>
      <c r="O106">
        <v>0</v>
      </c>
      <c r="P106" t="s">
        <v>32</v>
      </c>
      <c r="Q106" t="s">
        <v>26</v>
      </c>
      <c r="R106">
        <v>82.85</v>
      </c>
      <c r="S106">
        <v>21.26</v>
      </c>
      <c r="T106" t="s">
        <v>27</v>
      </c>
      <c r="U106" t="s">
        <v>28</v>
      </c>
      <c r="V106" t="s">
        <v>29</v>
      </c>
      <c r="W106" t="s">
        <v>242</v>
      </c>
    </row>
    <row r="107" spans="1:23" x14ac:dyDescent="0.3">
      <c r="A107">
        <v>30</v>
      </c>
      <c r="B107" t="str">
        <f>HYPERLINK("https://imapinvasives.natureserve.org/imap/services/page/Presence/1270758.html", "View")</f>
        <v>View</v>
      </c>
      <c r="C107">
        <v>1270758</v>
      </c>
      <c r="D107">
        <v>1279698</v>
      </c>
      <c r="E107" t="str">
        <f>HYPERLINK("http://imap3images.s3-website-us-east-1.amazonaws.com/1279698/p/imap_app_photo_1650750474327.jpg", "View")</f>
        <v>View</v>
      </c>
      <c r="F107" t="s">
        <v>22</v>
      </c>
      <c r="G107" t="s">
        <v>23</v>
      </c>
      <c r="H107">
        <v>61513</v>
      </c>
      <c r="I107" t="str">
        <f>HYPERLINK("https://www.inaturalist.org/taxa/52391-Pinus-strobus", "View")</f>
        <v>View</v>
      </c>
      <c r="J107" t="s">
        <v>43</v>
      </c>
      <c r="K107" t="s">
        <v>44</v>
      </c>
      <c r="L107">
        <v>52391</v>
      </c>
      <c r="M107">
        <v>73.27</v>
      </c>
      <c r="N107">
        <v>10.25</v>
      </c>
      <c r="O107">
        <v>0</v>
      </c>
      <c r="P107" t="s">
        <v>32</v>
      </c>
      <c r="Q107" t="s">
        <v>26</v>
      </c>
      <c r="R107">
        <v>82.85</v>
      </c>
      <c r="S107">
        <v>21.26</v>
      </c>
      <c r="T107" t="s">
        <v>27</v>
      </c>
      <c r="U107" t="s">
        <v>28</v>
      </c>
      <c r="V107" t="s">
        <v>29</v>
      </c>
      <c r="W107" t="s">
        <v>242</v>
      </c>
    </row>
    <row r="108" spans="1:23" x14ac:dyDescent="0.3">
      <c r="A108">
        <v>31</v>
      </c>
      <c r="B108" t="str">
        <f>HYPERLINK("https://imapinvasives.natureserve.org/imap/services/page/Presence/1280894.html", "View")</f>
        <v>View</v>
      </c>
      <c r="C108">
        <v>1280894</v>
      </c>
      <c r="D108">
        <v>1290304</v>
      </c>
      <c r="E108" t="str">
        <f>HYPERLINK("http://imap3images.s3-website-us-east-1.amazonaws.com/1290304/p/imap_app_photo_1656765388394.jpg", "View")</f>
        <v>View</v>
      </c>
      <c r="F108" t="s">
        <v>45</v>
      </c>
      <c r="G108" t="s">
        <v>46</v>
      </c>
      <c r="H108">
        <v>56061</v>
      </c>
      <c r="I108" t="str">
        <f>HYPERLINK("https://www.inaturalist.org/taxa/56061-Alliaria-petiolata", "View")</f>
        <v>View</v>
      </c>
      <c r="J108" t="s">
        <v>45</v>
      </c>
      <c r="K108" t="s">
        <v>47</v>
      </c>
      <c r="L108">
        <v>56061</v>
      </c>
      <c r="M108">
        <v>47.54</v>
      </c>
      <c r="N108">
        <v>17.399999999999999</v>
      </c>
      <c r="O108">
        <v>1</v>
      </c>
      <c r="P108" t="s">
        <v>25</v>
      </c>
      <c r="Q108" t="s">
        <v>48</v>
      </c>
      <c r="R108">
        <v>88.91</v>
      </c>
      <c r="S108">
        <v>39.89</v>
      </c>
      <c r="T108" t="s">
        <v>27</v>
      </c>
      <c r="U108" t="s">
        <v>28</v>
      </c>
      <c r="V108" t="s">
        <v>29</v>
      </c>
      <c r="W108" t="s">
        <v>242</v>
      </c>
    </row>
    <row r="109" spans="1:23" x14ac:dyDescent="0.3">
      <c r="A109">
        <v>32</v>
      </c>
      <c r="B109" t="str">
        <f>HYPERLINK("https://imapinvasives.natureserve.org/imap/services/page/Presence/1045434.html", "View")</f>
        <v>View</v>
      </c>
      <c r="C109">
        <v>1045434</v>
      </c>
      <c r="D109">
        <v>1049345</v>
      </c>
      <c r="E109" t="str">
        <f>HYPERLINK("http://imap3images.s3-website-us-east-1.amazonaws.com/1049345/p/imap_app_photo_1588181568026.jpg", "View")</f>
        <v>View</v>
      </c>
      <c r="F109" t="s">
        <v>45</v>
      </c>
      <c r="G109" t="s">
        <v>46</v>
      </c>
      <c r="H109">
        <v>56061</v>
      </c>
      <c r="I109" t="str">
        <f>HYPERLINK("https://www.inaturalist.org/taxa/204321-Ficaria-verna", "View")</f>
        <v>View</v>
      </c>
      <c r="J109" t="s">
        <v>49</v>
      </c>
      <c r="K109" t="s">
        <v>50</v>
      </c>
      <c r="L109">
        <v>204321</v>
      </c>
      <c r="M109">
        <v>82.18</v>
      </c>
      <c r="N109">
        <v>3.91</v>
      </c>
      <c r="O109">
        <v>0</v>
      </c>
      <c r="P109" t="s">
        <v>32</v>
      </c>
      <c r="Q109" t="s">
        <v>48</v>
      </c>
      <c r="R109">
        <v>88.91</v>
      </c>
      <c r="S109">
        <v>39.89</v>
      </c>
      <c r="T109" t="s">
        <v>27</v>
      </c>
      <c r="U109" t="s">
        <v>28</v>
      </c>
      <c r="V109" t="s">
        <v>29</v>
      </c>
      <c r="W109" t="s">
        <v>242</v>
      </c>
    </row>
    <row r="110" spans="1:23" x14ac:dyDescent="0.3">
      <c r="A110">
        <v>33</v>
      </c>
      <c r="B110" t="str">
        <f>HYPERLINK("https://imapinvasives.natureserve.org/imap/services/page/Presence/1042327.html", "View")</f>
        <v>View</v>
      </c>
      <c r="C110">
        <v>1042327</v>
      </c>
      <c r="D110">
        <v>1046176</v>
      </c>
      <c r="E110" t="str">
        <f>HYPERLINK("http://imap3images.s3-website-us-east-1.amazonaws.com/1046176/p/imap_app_photo_1582225216792.jpg", "View")</f>
        <v>View</v>
      </c>
      <c r="F110" t="s">
        <v>45</v>
      </c>
      <c r="G110" t="s">
        <v>46</v>
      </c>
      <c r="H110">
        <v>56061</v>
      </c>
      <c r="I110" t="str">
        <f>HYPERLINK("https://www.inaturalist.org/taxa/47697-Hesperis-matronalis", "View")</f>
        <v>View</v>
      </c>
      <c r="J110" t="s">
        <v>51</v>
      </c>
      <c r="K110" t="s">
        <v>52</v>
      </c>
      <c r="L110">
        <v>47697</v>
      </c>
      <c r="M110">
        <v>45.57</v>
      </c>
      <c r="N110">
        <v>21.84</v>
      </c>
      <c r="O110">
        <v>0</v>
      </c>
      <c r="P110" t="s">
        <v>32</v>
      </c>
      <c r="Q110" t="s">
        <v>48</v>
      </c>
      <c r="R110">
        <v>88.91</v>
      </c>
      <c r="S110">
        <v>39.89</v>
      </c>
      <c r="T110" t="s">
        <v>27</v>
      </c>
      <c r="U110" t="s">
        <v>28</v>
      </c>
      <c r="V110" t="s">
        <v>29</v>
      </c>
      <c r="W110" t="s">
        <v>242</v>
      </c>
    </row>
    <row r="111" spans="1:23" x14ac:dyDescent="0.3">
      <c r="A111">
        <v>34</v>
      </c>
      <c r="B111" t="str">
        <f>HYPERLINK("https://imapinvasives.natureserve.org/imap/services/page/Presence/1435275.html", "View")</f>
        <v>View</v>
      </c>
      <c r="C111">
        <v>1435275</v>
      </c>
      <c r="D111">
        <v>1448976</v>
      </c>
      <c r="E111" t="str">
        <f>HYPERLINK("http://imap3images.s3-website-us-east-1.amazonaws.com/1448976/p/imap_app_photo_1721403602425.jpg", "View")</f>
        <v>View</v>
      </c>
      <c r="F111" t="s">
        <v>45</v>
      </c>
      <c r="G111" t="s">
        <v>46</v>
      </c>
      <c r="H111">
        <v>56061</v>
      </c>
      <c r="I111" t="str">
        <f>HYPERLINK("https://www.inaturalist.org/taxa/47697-Hesperis-matronalis", "View")</f>
        <v>View</v>
      </c>
      <c r="J111" t="s">
        <v>51</v>
      </c>
      <c r="K111" t="s">
        <v>52</v>
      </c>
      <c r="L111">
        <v>47697</v>
      </c>
      <c r="M111">
        <v>62.25</v>
      </c>
      <c r="N111">
        <v>40.119999999999997</v>
      </c>
      <c r="O111">
        <v>0</v>
      </c>
      <c r="P111" t="s">
        <v>32</v>
      </c>
      <c r="Q111" t="s">
        <v>48</v>
      </c>
      <c r="R111">
        <v>88.91</v>
      </c>
      <c r="S111">
        <v>39.89</v>
      </c>
      <c r="T111" t="s">
        <v>27</v>
      </c>
      <c r="U111" t="s">
        <v>28</v>
      </c>
      <c r="V111" t="s">
        <v>29</v>
      </c>
      <c r="W111" t="s">
        <v>242</v>
      </c>
    </row>
    <row r="112" spans="1:23" x14ac:dyDescent="0.3">
      <c r="A112">
        <v>35</v>
      </c>
      <c r="B112" t="str">
        <f>HYPERLINK("https://imapinvasives.natureserve.org/imap/services/page/Presence/1393477.html", "View")</f>
        <v>View</v>
      </c>
      <c r="C112">
        <v>1393477</v>
      </c>
      <c r="D112">
        <v>1411616</v>
      </c>
      <c r="E112" t="str">
        <f>HYPERLINK("http://imap3images.s3-website-us-east-1.amazonaws.com/1411616/p/Alliaria_petiolata_3.JPEG", "View")</f>
        <v>View</v>
      </c>
      <c r="F112" t="s">
        <v>45</v>
      </c>
      <c r="G112" t="s">
        <v>46</v>
      </c>
      <c r="H112">
        <v>56061</v>
      </c>
      <c r="I112" t="str">
        <f>HYPERLINK("https://www.inaturalist.org/taxa/56061-Alliaria-petiolata", "View")</f>
        <v>View</v>
      </c>
      <c r="J112" t="s">
        <v>45</v>
      </c>
      <c r="K112" t="s">
        <v>47</v>
      </c>
      <c r="L112">
        <v>56061</v>
      </c>
      <c r="M112">
        <v>91.81</v>
      </c>
      <c r="N112">
        <v>85.74</v>
      </c>
      <c r="O112">
        <v>1</v>
      </c>
      <c r="P112" t="s">
        <v>25</v>
      </c>
      <c r="Q112" t="s">
        <v>48</v>
      </c>
      <c r="R112">
        <v>88.91</v>
      </c>
      <c r="S112">
        <v>39.89</v>
      </c>
      <c r="T112" t="s">
        <v>27</v>
      </c>
      <c r="U112" t="s">
        <v>28</v>
      </c>
      <c r="V112" t="s">
        <v>29</v>
      </c>
      <c r="W112" t="s">
        <v>241</v>
      </c>
    </row>
    <row r="113" spans="1:23" x14ac:dyDescent="0.3">
      <c r="A113">
        <v>37</v>
      </c>
      <c r="B113" t="str">
        <f>HYPERLINK("https://imapinvasives.natureserve.org/imap/services/page/Presence/1042333.html", "View")</f>
        <v>View</v>
      </c>
      <c r="C113">
        <v>1042333</v>
      </c>
      <c r="D113">
        <v>1046182</v>
      </c>
      <c r="E113" t="str">
        <f>HYPERLINK("http://imap3images.s3-website-us-east-1.amazonaws.com/1046182/p/imap_app_photo_1582225230548.jpg", "View")</f>
        <v>View</v>
      </c>
      <c r="F113" t="s">
        <v>45</v>
      </c>
      <c r="G113" t="s">
        <v>46</v>
      </c>
      <c r="H113">
        <v>56061</v>
      </c>
      <c r="I113" t="str">
        <f>HYPERLINK("https://www.inaturalist.org/taxa/47697-Hesperis-matronalis", "View")</f>
        <v>View</v>
      </c>
      <c r="J113" t="s">
        <v>51</v>
      </c>
      <c r="K113" t="s">
        <v>52</v>
      </c>
      <c r="L113">
        <v>47697</v>
      </c>
      <c r="M113">
        <v>45.57</v>
      </c>
      <c r="N113">
        <v>42.79</v>
      </c>
      <c r="O113">
        <v>0</v>
      </c>
      <c r="P113" t="s">
        <v>32</v>
      </c>
      <c r="Q113" t="s">
        <v>48</v>
      </c>
      <c r="R113">
        <v>88.91</v>
      </c>
      <c r="S113">
        <v>39.89</v>
      </c>
      <c r="T113" t="s">
        <v>27</v>
      </c>
      <c r="U113" t="s">
        <v>28</v>
      </c>
      <c r="V113" t="s">
        <v>29</v>
      </c>
      <c r="W113" t="s">
        <v>242</v>
      </c>
    </row>
    <row r="114" spans="1:23" x14ac:dyDescent="0.3">
      <c r="A114">
        <v>39</v>
      </c>
      <c r="B114" t="str">
        <f>HYPERLINK("https://imapinvasives.natureserve.org/imap/services/page/Presence/1408840.html", "View")</f>
        <v>View</v>
      </c>
      <c r="C114">
        <v>1408840</v>
      </c>
      <c r="D114">
        <v>1421239</v>
      </c>
      <c r="E114" t="str">
        <f>HYPERLINK("http://imap3images.s3-website-us-east-1.amazonaws.com/1421239/p/imap_app_photo_1716373583723.jpg", "View")</f>
        <v>View</v>
      </c>
      <c r="F114" t="s">
        <v>45</v>
      </c>
      <c r="G114" t="s">
        <v>46</v>
      </c>
      <c r="H114">
        <v>56061</v>
      </c>
      <c r="I114" t="str">
        <f>HYPERLINK("https://www.inaturalist.org/taxa/56061-Alliaria-petiolata", "View")</f>
        <v>View</v>
      </c>
      <c r="J114" t="s">
        <v>45</v>
      </c>
      <c r="K114" t="s">
        <v>47</v>
      </c>
      <c r="L114">
        <v>56061</v>
      </c>
      <c r="M114">
        <v>27.38</v>
      </c>
      <c r="N114">
        <v>28.03</v>
      </c>
      <c r="O114">
        <v>1</v>
      </c>
      <c r="P114" t="s">
        <v>25</v>
      </c>
      <c r="Q114" t="s">
        <v>48</v>
      </c>
      <c r="R114">
        <v>88.91</v>
      </c>
      <c r="S114">
        <v>39.89</v>
      </c>
      <c r="T114" t="s">
        <v>27</v>
      </c>
      <c r="U114" t="s">
        <v>27</v>
      </c>
      <c r="V114" t="s">
        <v>29</v>
      </c>
      <c r="W114" t="s">
        <v>242</v>
      </c>
    </row>
    <row r="115" spans="1:23" x14ac:dyDescent="0.3">
      <c r="A115">
        <v>40</v>
      </c>
      <c r="B115" t="str">
        <f>HYPERLINK("https://imapinvasives.natureserve.org/imap/services/page/Presence/1341632.html", "View")</f>
        <v>View</v>
      </c>
      <c r="C115">
        <v>1341632</v>
      </c>
      <c r="D115">
        <v>1356962</v>
      </c>
      <c r="E115" t="str">
        <f>HYPERLINK("http://imap3images.s3-website-us-east-1.amazonaws.com/1356962/p/imap_app_photo_1690117469890.jpg", "View")</f>
        <v>View</v>
      </c>
      <c r="F115" t="s">
        <v>45</v>
      </c>
      <c r="G115" t="s">
        <v>46</v>
      </c>
      <c r="H115">
        <v>56061</v>
      </c>
      <c r="I115" t="str">
        <f>HYPERLINK("https://www.inaturalist.org/taxa/55981-Lapsana-communis", "View")</f>
        <v>View</v>
      </c>
      <c r="J115" t="s">
        <v>53</v>
      </c>
      <c r="K115" t="s">
        <v>54</v>
      </c>
      <c r="L115">
        <v>55981</v>
      </c>
      <c r="M115">
        <v>15.49</v>
      </c>
      <c r="N115">
        <v>93.43</v>
      </c>
      <c r="O115">
        <v>0</v>
      </c>
      <c r="P115" t="s">
        <v>32</v>
      </c>
      <c r="Q115" t="s">
        <v>48</v>
      </c>
      <c r="R115">
        <v>88.91</v>
      </c>
      <c r="S115">
        <v>39.89</v>
      </c>
      <c r="T115" t="s">
        <v>28</v>
      </c>
      <c r="U115" t="s">
        <v>27</v>
      </c>
      <c r="V115" t="s">
        <v>29</v>
      </c>
      <c r="W115" t="s">
        <v>242</v>
      </c>
    </row>
    <row r="116" spans="1:23" x14ac:dyDescent="0.3">
      <c r="A116">
        <v>41</v>
      </c>
      <c r="B116" t="str">
        <f>HYPERLINK("https://imapinvasives.natureserve.org/imap/services/page/Presence/1042362.html", "View")</f>
        <v>View</v>
      </c>
      <c r="C116">
        <v>1042362</v>
      </c>
      <c r="D116">
        <v>1046211</v>
      </c>
      <c r="E116" t="str">
        <f>HYPERLINK("http://imap3images.s3-website-us-east-1.amazonaws.com/1046211/p/imap_app_photo_1582301825262.jpg", "View")</f>
        <v>View</v>
      </c>
      <c r="F116" t="s">
        <v>45</v>
      </c>
      <c r="G116" t="s">
        <v>46</v>
      </c>
      <c r="H116">
        <v>56061</v>
      </c>
      <c r="I116" t="str">
        <f>HYPERLINK("https://www.inaturalist.org/taxa/54436-Rubus-idaeus", "View")</f>
        <v>View</v>
      </c>
      <c r="J116" t="s">
        <v>55</v>
      </c>
      <c r="K116" t="s">
        <v>56</v>
      </c>
      <c r="L116">
        <v>54436</v>
      </c>
      <c r="M116">
        <v>8.17</v>
      </c>
      <c r="N116">
        <v>11.18</v>
      </c>
      <c r="O116">
        <v>0</v>
      </c>
      <c r="P116" t="s">
        <v>32</v>
      </c>
      <c r="Q116" t="s">
        <v>48</v>
      </c>
      <c r="R116">
        <v>88.91</v>
      </c>
      <c r="S116">
        <v>39.89</v>
      </c>
      <c r="T116" t="s">
        <v>27</v>
      </c>
      <c r="U116" t="s">
        <v>27</v>
      </c>
      <c r="V116" t="s">
        <v>29</v>
      </c>
      <c r="W116" t="s">
        <v>242</v>
      </c>
    </row>
    <row r="117" spans="1:23" x14ac:dyDescent="0.3">
      <c r="A117">
        <v>43</v>
      </c>
      <c r="B117" t="str">
        <f>HYPERLINK("https://imapinvasives.natureserve.org/imap/services/page/Presence/1044113.html", "View")</f>
        <v>View</v>
      </c>
      <c r="C117">
        <v>1044113</v>
      </c>
      <c r="D117">
        <v>1047981</v>
      </c>
      <c r="E117" t="str">
        <f>HYPERLINK("http://imap3images.s3-website-us-east-1.amazonaws.com/1047981/p/imap_app_photo_1585777288504.jpg", "View")</f>
        <v>View</v>
      </c>
      <c r="F117" t="s">
        <v>45</v>
      </c>
      <c r="G117" t="s">
        <v>46</v>
      </c>
      <c r="H117">
        <v>56061</v>
      </c>
      <c r="I117" t="str">
        <f>HYPERLINK("https://www.inaturalist.org/taxa/129278-Verbena-urticifolia", "View")</f>
        <v>View</v>
      </c>
      <c r="J117" t="s">
        <v>57</v>
      </c>
      <c r="K117" t="s">
        <v>58</v>
      </c>
      <c r="L117">
        <v>129278</v>
      </c>
      <c r="M117">
        <v>16.55</v>
      </c>
      <c r="N117">
        <v>61.24</v>
      </c>
      <c r="O117">
        <v>0</v>
      </c>
      <c r="P117" t="s">
        <v>32</v>
      </c>
      <c r="Q117" t="s">
        <v>48</v>
      </c>
      <c r="R117">
        <v>88.91</v>
      </c>
      <c r="S117">
        <v>39.89</v>
      </c>
      <c r="T117" t="s">
        <v>27</v>
      </c>
      <c r="U117" t="s">
        <v>27</v>
      </c>
      <c r="V117" t="s">
        <v>29</v>
      </c>
      <c r="W117" t="s">
        <v>242</v>
      </c>
    </row>
    <row r="118" spans="1:23" x14ac:dyDescent="0.3">
      <c r="A118">
        <v>45</v>
      </c>
      <c r="B118" t="str">
        <f>HYPERLINK("https://imapinvasives.natureserve.org/imap/services/page/Presence/1042546.html", "View")</f>
        <v>View</v>
      </c>
      <c r="C118">
        <v>1042546</v>
      </c>
      <c r="D118">
        <v>1046395</v>
      </c>
      <c r="E118" t="str">
        <f>HYPERLINK("http://imap3images.s3-website-us-east-1.amazonaws.com/1046395/p/imap_app_photo_1582566125870.jpg", "View")</f>
        <v>View</v>
      </c>
      <c r="F118" t="s">
        <v>45</v>
      </c>
      <c r="G118" t="s">
        <v>46</v>
      </c>
      <c r="H118">
        <v>56061</v>
      </c>
      <c r="I118" t="str">
        <f>HYPERLINK("https://www.inaturalist.org/taxa/60265-Asparagus-officinalis", "View")</f>
        <v>View</v>
      </c>
      <c r="J118" t="s">
        <v>59</v>
      </c>
      <c r="K118" t="s">
        <v>60</v>
      </c>
      <c r="L118">
        <v>60265</v>
      </c>
      <c r="M118">
        <v>5.05</v>
      </c>
      <c r="N118">
        <v>14.48</v>
      </c>
      <c r="O118">
        <v>0</v>
      </c>
      <c r="P118" t="s">
        <v>32</v>
      </c>
      <c r="Q118" t="s">
        <v>48</v>
      </c>
      <c r="R118">
        <v>88.91</v>
      </c>
      <c r="S118">
        <v>39.89</v>
      </c>
      <c r="T118" t="s">
        <v>27</v>
      </c>
      <c r="U118" t="s">
        <v>27</v>
      </c>
      <c r="V118" t="s">
        <v>29</v>
      </c>
      <c r="W118" t="s">
        <v>242</v>
      </c>
    </row>
    <row r="119" spans="1:23" x14ac:dyDescent="0.3">
      <c r="A119">
        <v>46</v>
      </c>
      <c r="B119" t="str">
        <f>HYPERLINK("https://imapinvasives.natureserve.org/imap/services/page/Presence/1409368.html", "View")</f>
        <v>View</v>
      </c>
      <c r="C119">
        <v>1409368</v>
      </c>
      <c r="D119">
        <v>1421771</v>
      </c>
      <c r="E119" t="str">
        <f>HYPERLINK("http://imap3images.s3-website-us-east-1.amazonaws.com/1421771/p/PXL_20240524_175149134.jpg", "View")</f>
        <v>View</v>
      </c>
      <c r="F119" t="s">
        <v>45</v>
      </c>
      <c r="G119" t="s">
        <v>46</v>
      </c>
      <c r="H119">
        <v>56061</v>
      </c>
      <c r="I119" t="str">
        <f>HYPERLINK("https://www.inaturalist.org/taxa/56061-Alliaria-petiolata", "View")</f>
        <v>View</v>
      </c>
      <c r="J119" t="s">
        <v>45</v>
      </c>
      <c r="K119" t="s">
        <v>47</v>
      </c>
      <c r="L119">
        <v>56061</v>
      </c>
      <c r="M119">
        <v>32.31</v>
      </c>
      <c r="N119">
        <v>80.23</v>
      </c>
      <c r="O119">
        <v>1</v>
      </c>
      <c r="P119" t="s">
        <v>25</v>
      </c>
      <c r="Q119" t="s">
        <v>48</v>
      </c>
      <c r="R119">
        <v>88.91</v>
      </c>
      <c r="S119">
        <v>39.89</v>
      </c>
      <c r="T119" t="s">
        <v>27</v>
      </c>
      <c r="U119" t="s">
        <v>27</v>
      </c>
      <c r="V119" t="s">
        <v>29</v>
      </c>
      <c r="W119" t="s">
        <v>241</v>
      </c>
    </row>
    <row r="120" spans="1:23" x14ac:dyDescent="0.3">
      <c r="A120">
        <v>48</v>
      </c>
      <c r="B120" t="str">
        <f>HYPERLINK("https://imapinvasives.natureserve.org/imap/services/page/Presence/1443082.html", "View")</f>
        <v>View</v>
      </c>
      <c r="C120">
        <v>1443082</v>
      </c>
      <c r="D120">
        <v>1457699</v>
      </c>
      <c r="E120" t="str">
        <f>HYPERLINK("http://imap3images.s3-website-us-east-1.amazonaws.com/1457699/p/imap_app_photo_1724953676946.jpg", "View")</f>
        <v>View</v>
      </c>
      <c r="F120" t="s">
        <v>45</v>
      </c>
      <c r="G120" t="s">
        <v>46</v>
      </c>
      <c r="H120">
        <v>56061</v>
      </c>
      <c r="I120" t="str">
        <f>HYPERLINK("https://www.inaturalist.org/taxa/47697-Hesperis-matronalis", "View")</f>
        <v>View</v>
      </c>
      <c r="J120" t="s">
        <v>51</v>
      </c>
      <c r="K120" t="s">
        <v>52</v>
      </c>
      <c r="L120">
        <v>47697</v>
      </c>
      <c r="M120">
        <v>62.25</v>
      </c>
      <c r="N120">
        <v>50.68</v>
      </c>
      <c r="O120">
        <v>0</v>
      </c>
      <c r="P120" t="s">
        <v>32</v>
      </c>
      <c r="Q120" t="s">
        <v>48</v>
      </c>
      <c r="R120">
        <v>88.91</v>
      </c>
      <c r="S120">
        <v>39.89</v>
      </c>
      <c r="T120" t="s">
        <v>27</v>
      </c>
      <c r="U120" t="s">
        <v>28</v>
      </c>
      <c r="V120" t="s">
        <v>29</v>
      </c>
      <c r="W120" t="s">
        <v>242</v>
      </c>
    </row>
    <row r="121" spans="1:23" x14ac:dyDescent="0.3">
      <c r="A121">
        <v>49</v>
      </c>
      <c r="B121" t="str">
        <f>HYPERLINK("https://imapinvasives.natureserve.org/imap/services/page/Presence/1042329.html", "View")</f>
        <v>View</v>
      </c>
      <c r="C121">
        <v>1042329</v>
      </c>
      <c r="D121">
        <v>1046178</v>
      </c>
      <c r="E121" t="str">
        <f>HYPERLINK("http://imap3images.s3-website-us-east-1.amazonaws.com/1046178/p/imap_app_photo_1582225221179.jpg", "View")</f>
        <v>View</v>
      </c>
      <c r="F121" t="s">
        <v>45</v>
      </c>
      <c r="G121" t="s">
        <v>46</v>
      </c>
      <c r="H121">
        <v>56061</v>
      </c>
      <c r="I121" t="str">
        <f>HYPERLINK("https://www.inaturalist.org/taxa/47697-Hesperis-matronalis", "View")</f>
        <v>View</v>
      </c>
      <c r="J121" t="s">
        <v>51</v>
      </c>
      <c r="K121" t="s">
        <v>52</v>
      </c>
      <c r="L121">
        <v>47697</v>
      </c>
      <c r="M121">
        <v>45.57</v>
      </c>
      <c r="N121">
        <v>57.74</v>
      </c>
      <c r="O121">
        <v>0</v>
      </c>
      <c r="P121" t="s">
        <v>32</v>
      </c>
      <c r="Q121" t="s">
        <v>48</v>
      </c>
      <c r="R121">
        <v>88.91</v>
      </c>
      <c r="S121">
        <v>39.89</v>
      </c>
      <c r="T121" t="s">
        <v>27</v>
      </c>
      <c r="U121" t="s">
        <v>28</v>
      </c>
      <c r="V121" t="s">
        <v>29</v>
      </c>
      <c r="W121" t="s">
        <v>242</v>
      </c>
    </row>
    <row r="122" spans="1:23" x14ac:dyDescent="0.3">
      <c r="A122">
        <v>50</v>
      </c>
      <c r="B122" t="str">
        <f>HYPERLINK("https://imapinvasives.natureserve.org/imap/services/page/Presence/1042550.html", "View")</f>
        <v>View</v>
      </c>
      <c r="C122">
        <v>1042550</v>
      </c>
      <c r="D122">
        <v>1046399</v>
      </c>
      <c r="E122" t="str">
        <f>HYPERLINK("http://imap3images.s3-website-us-east-1.amazonaws.com/1046399/p/imap_app_photo_1582566150534.jpg", "View")</f>
        <v>View</v>
      </c>
      <c r="F122" t="s">
        <v>45</v>
      </c>
      <c r="G122" t="s">
        <v>46</v>
      </c>
      <c r="H122">
        <v>56061</v>
      </c>
      <c r="I122" t="str">
        <f>HYPERLINK("https://www.inaturalist.org/taxa/47697-Hesperis-matronalis", "View")</f>
        <v>View</v>
      </c>
      <c r="J122" t="s">
        <v>51</v>
      </c>
      <c r="K122" t="s">
        <v>52</v>
      </c>
      <c r="L122">
        <v>47697</v>
      </c>
      <c r="M122">
        <v>45.57</v>
      </c>
      <c r="N122">
        <v>49.78</v>
      </c>
      <c r="O122">
        <v>0</v>
      </c>
      <c r="P122" t="s">
        <v>32</v>
      </c>
      <c r="Q122" t="s">
        <v>48</v>
      </c>
      <c r="R122">
        <v>88.91</v>
      </c>
      <c r="S122">
        <v>39.89</v>
      </c>
      <c r="T122" t="s">
        <v>27</v>
      </c>
      <c r="U122" t="s">
        <v>28</v>
      </c>
      <c r="V122" t="s">
        <v>29</v>
      </c>
      <c r="W122" t="s">
        <v>242</v>
      </c>
    </row>
    <row r="123" spans="1:23" x14ac:dyDescent="0.3">
      <c r="A123">
        <v>51</v>
      </c>
      <c r="B123" t="str">
        <f>HYPERLINK("https://imapinvasives.natureserve.org/imap/services/page/Presence/1041713.html", "View")</f>
        <v>View</v>
      </c>
      <c r="C123">
        <v>1041713</v>
      </c>
      <c r="D123">
        <v>1045553</v>
      </c>
      <c r="E123" t="str">
        <f>HYPERLINK("http://imap3images.s3-website-us-east-1.amazonaws.com/1045553/p/imap_app_photo_1581021179612.jpg", "View")</f>
        <v>View</v>
      </c>
      <c r="F123" t="s">
        <v>45</v>
      </c>
      <c r="G123" t="s">
        <v>46</v>
      </c>
      <c r="H123">
        <v>56061</v>
      </c>
      <c r="I123" t="str">
        <f>HYPERLINK("https://www.inaturalist.org/taxa/121031-Comptonia-peregrina", "View")</f>
        <v>View</v>
      </c>
      <c r="J123" t="s">
        <v>61</v>
      </c>
      <c r="K123" t="s">
        <v>62</v>
      </c>
      <c r="L123">
        <v>121031</v>
      </c>
      <c r="M123">
        <v>11.21</v>
      </c>
      <c r="N123">
        <v>17.82</v>
      </c>
      <c r="O123">
        <v>0</v>
      </c>
      <c r="P123" t="s">
        <v>32</v>
      </c>
      <c r="Q123" t="s">
        <v>48</v>
      </c>
      <c r="R123">
        <v>88.91</v>
      </c>
      <c r="S123">
        <v>39.89</v>
      </c>
      <c r="T123" t="s">
        <v>27</v>
      </c>
      <c r="U123" t="s">
        <v>27</v>
      </c>
      <c r="V123" t="s">
        <v>29</v>
      </c>
      <c r="W123" t="s">
        <v>242</v>
      </c>
    </row>
    <row r="124" spans="1:23" x14ac:dyDescent="0.3">
      <c r="A124">
        <v>52</v>
      </c>
      <c r="B124" t="str">
        <f>HYPERLINK("https://imapinvasives.natureserve.org/imap/services/page/Presence/1441700.html", "View")</f>
        <v>View</v>
      </c>
      <c r="C124">
        <v>1441700</v>
      </c>
      <c r="D124">
        <v>1456184</v>
      </c>
      <c r="E124" t="str">
        <f>HYPERLINK("http://imap3images.s3-website-us-east-1.amazonaws.com/1456184/p/imap_app_photo_1724343071718.jpg", "View")</f>
        <v>View</v>
      </c>
      <c r="F124" t="s">
        <v>45</v>
      </c>
      <c r="G124" t="s">
        <v>46</v>
      </c>
      <c r="H124">
        <v>56061</v>
      </c>
      <c r="I124" t="str">
        <f>HYPERLINK("https://www.inaturalist.org/taxa/47697-Hesperis-matronalis", "View")</f>
        <v>View</v>
      </c>
      <c r="J124" t="s">
        <v>51</v>
      </c>
      <c r="K124" t="s">
        <v>52</v>
      </c>
      <c r="L124">
        <v>47697</v>
      </c>
      <c r="M124">
        <v>62.25</v>
      </c>
      <c r="N124">
        <v>75.209999999999994</v>
      </c>
      <c r="O124">
        <v>0</v>
      </c>
      <c r="P124" t="s">
        <v>32</v>
      </c>
      <c r="Q124" t="s">
        <v>48</v>
      </c>
      <c r="R124">
        <v>88.91</v>
      </c>
      <c r="S124">
        <v>39.89</v>
      </c>
      <c r="T124" t="s">
        <v>27</v>
      </c>
      <c r="U124" t="s">
        <v>28</v>
      </c>
      <c r="V124" t="s">
        <v>29</v>
      </c>
      <c r="W124" t="s">
        <v>242</v>
      </c>
    </row>
    <row r="125" spans="1:23" x14ac:dyDescent="0.3">
      <c r="A125">
        <v>53</v>
      </c>
      <c r="B125" t="str">
        <f>HYPERLINK("https://imapinvasives.natureserve.org/imap/services/page/Presence/1344384.html", "View")</f>
        <v>View</v>
      </c>
      <c r="C125">
        <v>1344384</v>
      </c>
      <c r="D125">
        <v>1360172</v>
      </c>
      <c r="E125" t="str">
        <f>HYPERLINK("http://imap3images.s3-website-us-east-1.amazonaws.com/1360172/p/Photo1-20230613-141620.jpg", "View")</f>
        <v>View</v>
      </c>
      <c r="F125" t="s">
        <v>45</v>
      </c>
      <c r="G125" t="s">
        <v>46</v>
      </c>
      <c r="H125">
        <v>56061</v>
      </c>
      <c r="I125" t="str">
        <f>HYPERLINK("https://www.inaturalist.org/taxa/55981-Lapsana-communis", "View")</f>
        <v>View</v>
      </c>
      <c r="J125" t="s">
        <v>53</v>
      </c>
      <c r="K125" t="s">
        <v>54</v>
      </c>
      <c r="L125">
        <v>55981</v>
      </c>
      <c r="M125">
        <v>12.36</v>
      </c>
      <c r="N125">
        <v>9.5</v>
      </c>
      <c r="O125">
        <v>0</v>
      </c>
      <c r="P125" t="s">
        <v>32</v>
      </c>
      <c r="Q125" t="s">
        <v>48</v>
      </c>
      <c r="R125">
        <v>88.91</v>
      </c>
      <c r="S125">
        <v>39.89</v>
      </c>
      <c r="T125" t="s">
        <v>27</v>
      </c>
      <c r="U125" t="s">
        <v>27</v>
      </c>
      <c r="V125" t="s">
        <v>29</v>
      </c>
      <c r="W125" t="s">
        <v>242</v>
      </c>
    </row>
    <row r="126" spans="1:23" x14ac:dyDescent="0.3">
      <c r="A126">
        <v>54</v>
      </c>
      <c r="B126" t="str">
        <f>HYPERLINK("https://imapinvasives.natureserve.org/imap/services/page/Presence/1041714.html", "View")</f>
        <v>View</v>
      </c>
      <c r="C126">
        <v>1041714</v>
      </c>
      <c r="D126">
        <v>1045554</v>
      </c>
      <c r="E126" t="str">
        <f>HYPERLINK("http://imap3images.s3-website-us-east-1.amazonaws.com/1045554/p/imap_app_photo_1581021310373.jpg", "View")</f>
        <v>View</v>
      </c>
      <c r="F126" t="s">
        <v>45</v>
      </c>
      <c r="G126" t="s">
        <v>46</v>
      </c>
      <c r="H126">
        <v>56061</v>
      </c>
      <c r="I126" t="str">
        <f>HYPERLINK("https://www.inaturalist.org/taxa/47697-Hesperis-matronalis", "View")</f>
        <v>View</v>
      </c>
      <c r="J126" t="s">
        <v>51</v>
      </c>
      <c r="K126" t="s">
        <v>52</v>
      </c>
      <c r="L126">
        <v>47697</v>
      </c>
      <c r="M126">
        <v>45.57</v>
      </c>
      <c r="N126">
        <v>30.66</v>
      </c>
      <c r="O126">
        <v>0</v>
      </c>
      <c r="P126" t="s">
        <v>32</v>
      </c>
      <c r="Q126" t="s">
        <v>48</v>
      </c>
      <c r="R126">
        <v>88.91</v>
      </c>
      <c r="S126">
        <v>39.89</v>
      </c>
      <c r="T126" t="s">
        <v>27</v>
      </c>
      <c r="U126" t="s">
        <v>28</v>
      </c>
      <c r="V126" t="s">
        <v>29</v>
      </c>
      <c r="W126" t="s">
        <v>242</v>
      </c>
    </row>
    <row r="127" spans="1:23" x14ac:dyDescent="0.3">
      <c r="A127">
        <v>55</v>
      </c>
      <c r="B127" t="str">
        <f t="shared" ref="B127:B128" si="6">HYPERLINK("https://imapinvasives.natureserve.org/imap/services/page/Presence/1443662.html", "View")</f>
        <v>View</v>
      </c>
      <c r="C127">
        <v>1443662</v>
      </c>
      <c r="D127">
        <v>1458296</v>
      </c>
      <c r="E127" t="str">
        <f>HYPERLINK("http://imap3images.s3-website-us-east-1.amazonaws.com/1458296/p/IMG_20230424_131459.jpg", "View")</f>
        <v>View</v>
      </c>
      <c r="F127" t="s">
        <v>69</v>
      </c>
      <c r="G127" t="s">
        <v>70</v>
      </c>
      <c r="H127">
        <v>77120</v>
      </c>
      <c r="I127" t="str">
        <f>HYPERLINK("https://www.inaturalist.org/taxa/77120-Euphorbia-virgata", "View")</f>
        <v>View</v>
      </c>
      <c r="J127" t="s">
        <v>69</v>
      </c>
      <c r="K127" t="s">
        <v>71</v>
      </c>
      <c r="L127">
        <v>77120</v>
      </c>
      <c r="M127">
        <v>7.29</v>
      </c>
      <c r="N127">
        <v>41.69</v>
      </c>
      <c r="O127">
        <v>1</v>
      </c>
      <c r="P127" t="s">
        <v>25</v>
      </c>
      <c r="Q127" t="s">
        <v>65</v>
      </c>
      <c r="R127">
        <v>77.62</v>
      </c>
      <c r="S127">
        <v>36.5</v>
      </c>
      <c r="T127" t="s">
        <v>27</v>
      </c>
      <c r="U127" t="s">
        <v>27</v>
      </c>
      <c r="V127" t="s">
        <v>29</v>
      </c>
      <c r="W127" t="s">
        <v>241</v>
      </c>
    </row>
    <row r="128" spans="1:23" x14ac:dyDescent="0.3">
      <c r="A128">
        <v>55</v>
      </c>
      <c r="B128" t="str">
        <f t="shared" si="6"/>
        <v>View</v>
      </c>
      <c r="C128">
        <v>1443662</v>
      </c>
      <c r="D128">
        <v>1458307</v>
      </c>
      <c r="E128" t="str">
        <f>HYPERLINK("http://imap3images.s3-website-us-east-1.amazonaws.com/1458307/p/IMG_20230529_115939.jpg", "View")</f>
        <v>View</v>
      </c>
      <c r="F128" t="s">
        <v>72</v>
      </c>
      <c r="G128" t="s">
        <v>73</v>
      </c>
      <c r="H128">
        <v>56065</v>
      </c>
      <c r="I128" t="str">
        <f>HYPERLINK("https://www.inaturalist.org/taxa/77206-Galium-mollugo", "View")</f>
        <v>View</v>
      </c>
      <c r="J128" t="s">
        <v>74</v>
      </c>
      <c r="K128" t="s">
        <v>75</v>
      </c>
      <c r="L128">
        <v>77206</v>
      </c>
      <c r="M128">
        <v>37.29</v>
      </c>
      <c r="N128">
        <v>79.36</v>
      </c>
      <c r="O128">
        <v>0</v>
      </c>
      <c r="P128" t="s">
        <v>32</v>
      </c>
      <c r="Q128" t="s">
        <v>48</v>
      </c>
      <c r="R128">
        <v>77.62</v>
      </c>
      <c r="S128">
        <v>36.5</v>
      </c>
      <c r="T128" t="s">
        <v>28</v>
      </c>
      <c r="U128" t="s">
        <v>28</v>
      </c>
      <c r="V128" t="s">
        <v>29</v>
      </c>
      <c r="W128" t="s">
        <v>242</v>
      </c>
    </row>
    <row r="129" spans="1:23" x14ac:dyDescent="0.3">
      <c r="A129">
        <v>56</v>
      </c>
      <c r="B129" t="str">
        <f>HYPERLINK("https://imapinvasives.natureserve.org/imap/services/page/Presence/1230822.html", "View")</f>
        <v>View</v>
      </c>
      <c r="C129">
        <v>1230822</v>
      </c>
      <c r="D129">
        <v>1238910</v>
      </c>
      <c r="E129" t="str">
        <f>HYPERLINK("http://imap3images.s3-website-us-east-1.amazonaws.com/1238910/p/tempImageWM41j1.png", "View")</f>
        <v>View</v>
      </c>
      <c r="F129" t="s">
        <v>45</v>
      </c>
      <c r="G129" t="s">
        <v>46</v>
      </c>
      <c r="H129">
        <v>56061</v>
      </c>
      <c r="I129" t="s">
        <v>33</v>
      </c>
      <c r="J129" t="s">
        <v>33</v>
      </c>
      <c r="K129" t="s">
        <v>33</v>
      </c>
      <c r="L129" t="s">
        <v>33</v>
      </c>
      <c r="M129" t="s">
        <v>33</v>
      </c>
      <c r="N129" t="s">
        <v>33</v>
      </c>
      <c r="O129">
        <v>0</v>
      </c>
      <c r="P129" t="s">
        <v>32</v>
      </c>
      <c r="Q129" t="s">
        <v>48</v>
      </c>
      <c r="R129">
        <v>88.91</v>
      </c>
      <c r="S129">
        <v>39.89</v>
      </c>
      <c r="T129" t="s">
        <v>27</v>
      </c>
      <c r="U129" t="s">
        <v>27</v>
      </c>
      <c r="V129" t="s">
        <v>29</v>
      </c>
      <c r="W129" t="s">
        <v>242</v>
      </c>
    </row>
    <row r="130" spans="1:23" x14ac:dyDescent="0.3">
      <c r="A130">
        <v>57</v>
      </c>
      <c r="B130" t="str">
        <f>HYPERLINK("https://imapinvasives.natureserve.org/imap/services/page/Presence/1041716.html", "View")</f>
        <v>View</v>
      </c>
      <c r="C130">
        <v>1041716</v>
      </c>
      <c r="D130">
        <v>1045556</v>
      </c>
      <c r="E130" t="str">
        <f>HYPERLINK("http://imap3images.s3-website-us-east-1.amazonaws.com/1045556/p/imap_app_photo_1581021423168.jpg", "View")</f>
        <v>View</v>
      </c>
      <c r="F130" t="s">
        <v>45</v>
      </c>
      <c r="G130" t="s">
        <v>46</v>
      </c>
      <c r="H130">
        <v>56061</v>
      </c>
      <c r="I130" t="str">
        <f>HYPERLINK("https://www.inaturalist.org/taxa/47697-Hesperis-matronalis", "View")</f>
        <v>View</v>
      </c>
      <c r="J130" t="s">
        <v>51</v>
      </c>
      <c r="K130" t="s">
        <v>52</v>
      </c>
      <c r="L130">
        <v>47697</v>
      </c>
      <c r="M130">
        <v>45.57</v>
      </c>
      <c r="N130">
        <v>63.89</v>
      </c>
      <c r="O130">
        <v>0</v>
      </c>
      <c r="P130" t="s">
        <v>32</v>
      </c>
      <c r="Q130" t="s">
        <v>48</v>
      </c>
      <c r="R130">
        <v>88.91</v>
      </c>
      <c r="S130">
        <v>39.89</v>
      </c>
      <c r="T130" t="s">
        <v>27</v>
      </c>
      <c r="U130" t="s">
        <v>28</v>
      </c>
      <c r="V130" t="s">
        <v>29</v>
      </c>
      <c r="W130" t="s">
        <v>242</v>
      </c>
    </row>
    <row r="131" spans="1:23" x14ac:dyDescent="0.3">
      <c r="A131">
        <v>59</v>
      </c>
      <c r="B131" t="str">
        <f>HYPERLINK("https://imapinvasives.natureserve.org/imap/services/page/Presence/1411656.html", "View")</f>
        <v>View</v>
      </c>
      <c r="C131">
        <v>1411656</v>
      </c>
      <c r="D131">
        <v>1424314</v>
      </c>
      <c r="E131" t="str">
        <f>HYPERLINK("http://imap3images.s3-website-us-east-1.amazonaws.com/1424314/p/imap_app_photo_1718398446498.jpg", "View")</f>
        <v>View</v>
      </c>
      <c r="F131" t="s">
        <v>45</v>
      </c>
      <c r="G131" t="s">
        <v>46</v>
      </c>
      <c r="H131">
        <v>56061</v>
      </c>
      <c r="I131" t="str">
        <f>HYPERLINK("https://www.inaturalist.org/taxa/391760-Liriomyza-brassicae", "View")</f>
        <v>View</v>
      </c>
      <c r="J131" t="s">
        <v>92</v>
      </c>
      <c r="K131" t="s">
        <v>93</v>
      </c>
      <c r="L131">
        <v>391760</v>
      </c>
      <c r="M131">
        <v>16.84</v>
      </c>
      <c r="N131">
        <v>60.94</v>
      </c>
      <c r="O131">
        <v>0</v>
      </c>
      <c r="P131" t="s">
        <v>32</v>
      </c>
      <c r="Q131" t="s">
        <v>48</v>
      </c>
      <c r="R131">
        <v>88.91</v>
      </c>
      <c r="S131">
        <v>39.89</v>
      </c>
      <c r="T131" t="s">
        <v>27</v>
      </c>
      <c r="U131" t="s">
        <v>27</v>
      </c>
      <c r="V131" t="s">
        <v>29</v>
      </c>
      <c r="W131" t="s">
        <v>241</v>
      </c>
    </row>
    <row r="132" spans="1:23" x14ac:dyDescent="0.3">
      <c r="A132">
        <v>61</v>
      </c>
      <c r="B132" t="str">
        <f>HYPERLINK("https://imapinvasives.natureserve.org/imap/services/page/Presence/1375427.html", "View")</f>
        <v>View</v>
      </c>
      <c r="C132">
        <v>1375427</v>
      </c>
      <c r="D132">
        <v>1393522</v>
      </c>
      <c r="E132" t="str">
        <f>HYPERLINK("http://imap3images.s3-website-us-east-1.amazonaws.com/1393522/p/imap_app_photo_1707423095167.jpg", "View")</f>
        <v>View</v>
      </c>
      <c r="F132" t="s">
        <v>94</v>
      </c>
      <c r="G132" t="s">
        <v>95</v>
      </c>
      <c r="H132">
        <v>58727</v>
      </c>
      <c r="I132" t="str">
        <f>HYPERLINK("https://www.inaturalist.org/taxa/78882-Rosa-multiflora", "View")</f>
        <v>View</v>
      </c>
      <c r="J132" t="s">
        <v>89</v>
      </c>
      <c r="K132" t="s">
        <v>96</v>
      </c>
      <c r="L132">
        <v>78882</v>
      </c>
      <c r="M132">
        <v>36.85</v>
      </c>
      <c r="N132">
        <v>45.02</v>
      </c>
      <c r="O132">
        <v>0</v>
      </c>
      <c r="P132" t="s">
        <v>32</v>
      </c>
      <c r="Q132" t="s">
        <v>48</v>
      </c>
      <c r="R132">
        <v>90.06</v>
      </c>
      <c r="S132">
        <v>36.549999999999997</v>
      </c>
      <c r="T132" t="s">
        <v>27</v>
      </c>
      <c r="U132" t="s">
        <v>28</v>
      </c>
      <c r="V132" t="s">
        <v>29</v>
      </c>
      <c r="W132" t="s">
        <v>242</v>
      </c>
    </row>
    <row r="133" spans="1:23" x14ac:dyDescent="0.3">
      <c r="A133">
        <v>62</v>
      </c>
      <c r="B133" t="str">
        <f>HYPERLINK("https://imapinvasives.natureserve.org/imap/services/page/Presence/1269831.html", "View")</f>
        <v>View</v>
      </c>
      <c r="C133">
        <v>1269831</v>
      </c>
      <c r="D133">
        <v>1278762</v>
      </c>
      <c r="E133" t="str">
        <f>HYPERLINK("http://imap3images.s3-website-us-east-1.amazonaws.com/1278762/p/imap_app_photo_1650049493962.jpg", "View")</f>
        <v>View</v>
      </c>
      <c r="F133" t="s">
        <v>94</v>
      </c>
      <c r="G133" t="s">
        <v>95</v>
      </c>
      <c r="H133">
        <v>58727</v>
      </c>
      <c r="I133" t="str">
        <f>HYPERLINK("https://www.inaturalist.org/taxa/48095-Acer-pensylvanicum", "View")</f>
        <v>View</v>
      </c>
      <c r="J133" t="s">
        <v>97</v>
      </c>
      <c r="K133" t="s">
        <v>98</v>
      </c>
      <c r="L133">
        <v>48095</v>
      </c>
      <c r="M133">
        <v>27.81</v>
      </c>
      <c r="N133">
        <v>23.35</v>
      </c>
      <c r="O133">
        <v>0</v>
      </c>
      <c r="P133" t="s">
        <v>32</v>
      </c>
      <c r="Q133" t="s">
        <v>48</v>
      </c>
      <c r="R133">
        <v>90.06</v>
      </c>
      <c r="S133">
        <v>36.549999999999997</v>
      </c>
      <c r="T133" t="s">
        <v>27</v>
      </c>
      <c r="U133" t="s">
        <v>27</v>
      </c>
      <c r="V133" t="s">
        <v>29</v>
      </c>
      <c r="W133" t="s">
        <v>242</v>
      </c>
    </row>
    <row r="134" spans="1:23" x14ac:dyDescent="0.3">
      <c r="A134">
        <v>64</v>
      </c>
      <c r="B134" t="str">
        <f>HYPERLINK("https://imapinvasives.natureserve.org/imap/services/page/Presence/1157741.html", "View")</f>
        <v>View</v>
      </c>
      <c r="C134">
        <v>1157741</v>
      </c>
      <c r="D134">
        <v>1164794</v>
      </c>
      <c r="E134" t="str">
        <f>HYPERLINK("http://imap3images.s3-website-us-east-1.amazonaws.com/1164794/p/imap_app_photo_1628703451388.jpg", "View")</f>
        <v>View</v>
      </c>
      <c r="F134" t="s">
        <v>94</v>
      </c>
      <c r="G134" t="s">
        <v>95</v>
      </c>
      <c r="H134">
        <v>58727</v>
      </c>
      <c r="I134" t="s">
        <v>33</v>
      </c>
      <c r="J134" t="s">
        <v>33</v>
      </c>
      <c r="K134" t="s">
        <v>33</v>
      </c>
      <c r="L134" t="s">
        <v>33</v>
      </c>
      <c r="M134" t="s">
        <v>33</v>
      </c>
      <c r="N134" t="s">
        <v>33</v>
      </c>
      <c r="O134">
        <v>0</v>
      </c>
      <c r="P134" t="s">
        <v>32</v>
      </c>
      <c r="Q134" t="s">
        <v>48</v>
      </c>
      <c r="R134">
        <v>90.06</v>
      </c>
      <c r="S134">
        <v>36.549999999999997</v>
      </c>
      <c r="T134" t="s">
        <v>27</v>
      </c>
      <c r="U134" t="s">
        <v>27</v>
      </c>
      <c r="V134" t="s">
        <v>29</v>
      </c>
      <c r="W134" t="s">
        <v>242</v>
      </c>
    </row>
    <row r="135" spans="1:23" x14ac:dyDescent="0.3">
      <c r="A135">
        <v>65</v>
      </c>
      <c r="B135" t="str">
        <f>HYPERLINK("https://imapinvasives.natureserve.org/imap/services/page/Presence/1163998.html", "View")</f>
        <v>View</v>
      </c>
      <c r="C135">
        <v>1163998</v>
      </c>
      <c r="D135">
        <v>1171228</v>
      </c>
      <c r="E135" t="str">
        <f>HYPERLINK("http://imap3images.s3-website-us-east-1.amazonaws.com/1171228/p/imap_app_photo_1631908384215.jpg", "View")</f>
        <v>View</v>
      </c>
      <c r="F135" t="s">
        <v>94</v>
      </c>
      <c r="G135" t="s">
        <v>95</v>
      </c>
      <c r="H135">
        <v>58727</v>
      </c>
      <c r="I135" t="str">
        <f>HYPERLINK("https://www.inaturalist.org/taxa/58727-Berberis-thunbergii", "View")</f>
        <v>View</v>
      </c>
      <c r="J135" t="s">
        <v>94</v>
      </c>
      <c r="K135" t="s">
        <v>99</v>
      </c>
      <c r="L135">
        <v>58727</v>
      </c>
      <c r="M135">
        <v>72.42</v>
      </c>
      <c r="N135">
        <v>8.1300000000000008</v>
      </c>
      <c r="O135">
        <v>1</v>
      </c>
      <c r="P135" t="s">
        <v>25</v>
      </c>
      <c r="Q135" t="s">
        <v>48</v>
      </c>
      <c r="R135">
        <v>90.06</v>
      </c>
      <c r="S135">
        <v>36.549999999999997</v>
      </c>
      <c r="T135" t="s">
        <v>27</v>
      </c>
      <c r="U135" t="s">
        <v>28</v>
      </c>
      <c r="V135" t="s">
        <v>29</v>
      </c>
      <c r="W135" t="s">
        <v>242</v>
      </c>
    </row>
    <row r="136" spans="1:23" x14ac:dyDescent="0.3">
      <c r="A136">
        <v>70</v>
      </c>
      <c r="B136" t="str">
        <f>HYPERLINK("https://imapinvasives.natureserve.org/imap/services/page/Presence/1389202.html", "View")</f>
        <v>View</v>
      </c>
      <c r="C136">
        <v>1389202</v>
      </c>
      <c r="D136">
        <v>1407305</v>
      </c>
      <c r="E136" t="str">
        <f>HYPERLINK("http://imap3images.s3-website-us-east-1.amazonaws.com/1407305/p/IMG_1900.jpg", "View")</f>
        <v>View</v>
      </c>
      <c r="F136" t="s">
        <v>94</v>
      </c>
      <c r="G136" t="s">
        <v>95</v>
      </c>
      <c r="H136">
        <v>58727</v>
      </c>
      <c r="I136" t="str">
        <f>HYPERLINK("https://www.inaturalist.org/taxa/43794-Castor-canadensis", "View")</f>
        <v>View</v>
      </c>
      <c r="J136" t="s">
        <v>100</v>
      </c>
      <c r="K136" t="s">
        <v>101</v>
      </c>
      <c r="L136">
        <v>43794</v>
      </c>
      <c r="M136">
        <v>26.58</v>
      </c>
      <c r="N136">
        <v>9.6300000000000008</v>
      </c>
      <c r="O136">
        <v>0</v>
      </c>
      <c r="P136" t="s">
        <v>32</v>
      </c>
      <c r="Q136" t="s">
        <v>48</v>
      </c>
      <c r="R136">
        <v>90.06</v>
      </c>
      <c r="S136">
        <v>36.549999999999997</v>
      </c>
      <c r="T136" t="s">
        <v>27</v>
      </c>
      <c r="U136" t="s">
        <v>27</v>
      </c>
      <c r="V136" t="s">
        <v>29</v>
      </c>
      <c r="W136" t="s">
        <v>242</v>
      </c>
    </row>
    <row r="137" spans="1:23" x14ac:dyDescent="0.3">
      <c r="A137">
        <v>70</v>
      </c>
      <c r="B137" t="str">
        <f>HYPERLINK("https://imapinvasives.natureserve.org/imap/services/page/Presence/1389202.html", "View")</f>
        <v>View</v>
      </c>
      <c r="C137">
        <v>1389202</v>
      </c>
      <c r="D137">
        <v>1407304</v>
      </c>
      <c r="E137" t="str">
        <f>HYPERLINK("http://imap3images.s3-website-us-east-1.amazonaws.com/1407304/p/IMG_2028.jpg", "View")</f>
        <v>View</v>
      </c>
      <c r="F137" t="s">
        <v>102</v>
      </c>
      <c r="G137" t="s">
        <v>103</v>
      </c>
      <c r="H137">
        <v>64697</v>
      </c>
      <c r="I137" t="str">
        <f>HYPERLINK("https://www.inaturalist.org/taxa/64540-Celastrus-orbiculatus", "View")</f>
        <v>View</v>
      </c>
      <c r="J137" t="s">
        <v>104</v>
      </c>
      <c r="K137" t="s">
        <v>105</v>
      </c>
      <c r="L137">
        <v>64540</v>
      </c>
      <c r="M137">
        <v>88.08</v>
      </c>
      <c r="N137">
        <v>4.7300000000000004</v>
      </c>
      <c r="O137">
        <v>0</v>
      </c>
      <c r="P137" t="s">
        <v>32</v>
      </c>
      <c r="Q137" t="s">
        <v>48</v>
      </c>
      <c r="R137">
        <v>77.62</v>
      </c>
      <c r="S137">
        <v>36.5</v>
      </c>
      <c r="T137" t="s">
        <v>27</v>
      </c>
      <c r="U137" t="s">
        <v>28</v>
      </c>
      <c r="V137" t="s">
        <v>29</v>
      </c>
      <c r="W137" t="s">
        <v>242</v>
      </c>
    </row>
    <row r="138" spans="1:23" x14ac:dyDescent="0.3">
      <c r="A138">
        <v>70</v>
      </c>
      <c r="B138" t="str">
        <f>HYPERLINK("https://imapinvasives.natureserve.org/imap/services/page/Presence/1389202.html", "View")</f>
        <v>View</v>
      </c>
      <c r="C138">
        <v>1389202</v>
      </c>
      <c r="D138">
        <v>1407303</v>
      </c>
      <c r="E138" t="str">
        <f>HYPERLINK("http://imap3images.s3-website-us-east-1.amazonaws.com/1407303/p/IMG_2043.jpg", "View")</f>
        <v>View</v>
      </c>
      <c r="F138" t="s">
        <v>106</v>
      </c>
      <c r="G138" t="s">
        <v>107</v>
      </c>
      <c r="H138">
        <v>131249</v>
      </c>
      <c r="I138" t="str">
        <f>HYPERLINK("https://www.inaturalist.org/taxa/165104-Malus-baccata", "View")</f>
        <v>View</v>
      </c>
      <c r="J138" t="s">
        <v>108</v>
      </c>
      <c r="K138" t="s">
        <v>109</v>
      </c>
      <c r="L138">
        <v>165104</v>
      </c>
      <c r="M138">
        <v>18.59</v>
      </c>
      <c r="N138">
        <v>16.87</v>
      </c>
      <c r="O138">
        <v>0</v>
      </c>
      <c r="P138" t="s">
        <v>32</v>
      </c>
      <c r="Q138" t="s">
        <v>48</v>
      </c>
      <c r="R138">
        <v>77.62</v>
      </c>
      <c r="S138">
        <v>36.5</v>
      </c>
      <c r="T138" t="s">
        <v>27</v>
      </c>
      <c r="U138" t="s">
        <v>27</v>
      </c>
      <c r="V138" t="s">
        <v>29</v>
      </c>
      <c r="W138" t="s">
        <v>242</v>
      </c>
    </row>
    <row r="139" spans="1:23" x14ac:dyDescent="0.3">
      <c r="A139">
        <v>70</v>
      </c>
      <c r="B139" t="str">
        <f>HYPERLINK("https://imapinvasives.natureserve.org/imap/services/page/Presence/1389202.html", "View")</f>
        <v>View</v>
      </c>
      <c r="C139">
        <v>1389202</v>
      </c>
      <c r="D139">
        <v>1407306</v>
      </c>
      <c r="E139" t="str">
        <f>HYPERLINK("http://imap3images.s3-website-us-east-1.amazonaws.com/1407306/p/IMG_2009.jpg", "View")</f>
        <v>View</v>
      </c>
      <c r="F139" t="s">
        <v>89</v>
      </c>
      <c r="G139" t="s">
        <v>90</v>
      </c>
      <c r="H139">
        <v>78882</v>
      </c>
      <c r="I139" t="str">
        <f>HYPERLINK("https://www.inaturalist.org/taxa/49662-Platanus-occidentalis", "View")</f>
        <v>View</v>
      </c>
      <c r="J139" t="s">
        <v>110</v>
      </c>
      <c r="K139" t="s">
        <v>111</v>
      </c>
      <c r="L139">
        <v>49662</v>
      </c>
      <c r="M139">
        <v>42.16</v>
      </c>
      <c r="N139">
        <v>5.55</v>
      </c>
      <c r="O139">
        <v>0</v>
      </c>
      <c r="P139" t="s">
        <v>32</v>
      </c>
      <c r="Q139" t="s">
        <v>48</v>
      </c>
      <c r="R139">
        <v>74.05</v>
      </c>
      <c r="S139">
        <v>41.31</v>
      </c>
      <c r="T139" t="s">
        <v>27</v>
      </c>
      <c r="U139" t="s">
        <v>28</v>
      </c>
      <c r="V139" t="s">
        <v>29</v>
      </c>
      <c r="W139" t="s">
        <v>242</v>
      </c>
    </row>
    <row r="140" spans="1:23" x14ac:dyDescent="0.3">
      <c r="A140">
        <v>71</v>
      </c>
      <c r="B140" t="str">
        <f>HYPERLINK("https://imapinvasives.natureserve.org/imap/services/page/Presence/1324094.html", "View")</f>
        <v>View</v>
      </c>
      <c r="C140">
        <v>1324094</v>
      </c>
      <c r="D140">
        <v>1336801</v>
      </c>
      <c r="E140" t="str">
        <f>HYPERLINK("http://imap3images.s3-website-us-east-1.amazonaws.com/1336801/p/imap_app_photo_1680471125046.jpg", "View")</f>
        <v>View</v>
      </c>
      <c r="F140" t="s">
        <v>94</v>
      </c>
      <c r="G140" t="s">
        <v>95</v>
      </c>
      <c r="H140">
        <v>58727</v>
      </c>
      <c r="I140" t="str">
        <f>HYPERLINK("https://www.inaturalist.org/taxa/58727-Berberis-thunbergii", "View")</f>
        <v>View</v>
      </c>
      <c r="J140" t="s">
        <v>94</v>
      </c>
      <c r="K140" t="s">
        <v>99</v>
      </c>
      <c r="L140">
        <v>58727</v>
      </c>
      <c r="M140">
        <v>30.16</v>
      </c>
      <c r="N140">
        <v>73.66</v>
      </c>
      <c r="O140">
        <v>1</v>
      </c>
      <c r="P140" t="s">
        <v>25</v>
      </c>
      <c r="Q140" t="s">
        <v>48</v>
      </c>
      <c r="R140">
        <v>90.06</v>
      </c>
      <c r="S140">
        <v>36.549999999999997</v>
      </c>
      <c r="T140" t="s">
        <v>27</v>
      </c>
      <c r="U140" t="s">
        <v>27</v>
      </c>
      <c r="V140" t="s">
        <v>29</v>
      </c>
      <c r="W140" t="s">
        <v>242</v>
      </c>
    </row>
    <row r="141" spans="1:23" x14ac:dyDescent="0.3">
      <c r="A141">
        <v>74</v>
      </c>
      <c r="B141" t="str">
        <f>HYPERLINK("https://imapinvasives.natureserve.org/imap/services/page/Presence/425375.html", "View")</f>
        <v>View</v>
      </c>
      <c r="C141">
        <v>425375</v>
      </c>
      <c r="D141">
        <v>425375</v>
      </c>
      <c r="E141" t="str">
        <f>HYPERLINK("http://imap3images.s3-website-us-east-1.amazonaws.com/425375/p/photourl1_2014_11_23_elisincock_g16twvco.jpg", "View")</f>
        <v>View</v>
      </c>
      <c r="F141" t="s">
        <v>94</v>
      </c>
      <c r="G141" t="s">
        <v>95</v>
      </c>
      <c r="H141">
        <v>58727</v>
      </c>
      <c r="I141" t="str">
        <f>HYPERLINK("https://www.inaturalist.org/taxa/117433-Euonymus-alatus", "View")</f>
        <v>View</v>
      </c>
      <c r="J141" t="s">
        <v>112</v>
      </c>
      <c r="K141" t="s">
        <v>113</v>
      </c>
      <c r="L141">
        <v>117433</v>
      </c>
      <c r="M141">
        <v>9.9700000000000006</v>
      </c>
      <c r="N141">
        <v>80.010000000000005</v>
      </c>
      <c r="O141">
        <v>0</v>
      </c>
      <c r="P141" t="s">
        <v>32</v>
      </c>
      <c r="Q141" t="s">
        <v>48</v>
      </c>
      <c r="R141">
        <v>90.06</v>
      </c>
      <c r="S141">
        <v>36.549999999999997</v>
      </c>
      <c r="T141" t="s">
        <v>27</v>
      </c>
      <c r="U141" t="s">
        <v>27</v>
      </c>
      <c r="V141" t="s">
        <v>29</v>
      </c>
      <c r="W141" t="s">
        <v>242</v>
      </c>
    </row>
    <row r="142" spans="1:23" x14ac:dyDescent="0.3">
      <c r="A142">
        <v>76</v>
      </c>
      <c r="B142" t="str">
        <f>HYPERLINK("https://imapinvasives.natureserve.org/imap/services/page/Presence/1269855.html", "View")</f>
        <v>View</v>
      </c>
      <c r="C142">
        <v>1269855</v>
      </c>
      <c r="D142">
        <v>1278786</v>
      </c>
      <c r="E142" t="str">
        <f>HYPERLINK("http://imap3images.s3-website-us-east-1.amazonaws.com/1278786/p/imap_app_photo_1650142168349.jpg", "View")</f>
        <v>View</v>
      </c>
      <c r="F142" t="s">
        <v>114</v>
      </c>
      <c r="G142" t="s">
        <v>115</v>
      </c>
      <c r="I142" t="str">
        <f>HYPERLINK("https://www.inaturalist.org/taxa/58727-Berberis-thunbergii", "View")</f>
        <v>View</v>
      </c>
      <c r="J142" t="s">
        <v>94</v>
      </c>
      <c r="K142" t="s">
        <v>99</v>
      </c>
      <c r="L142">
        <v>58727</v>
      </c>
      <c r="M142">
        <v>72.42</v>
      </c>
      <c r="N142">
        <v>78.12</v>
      </c>
      <c r="O142">
        <v>0</v>
      </c>
      <c r="P142" t="s">
        <v>32</v>
      </c>
      <c r="Q142" t="s">
        <v>65</v>
      </c>
      <c r="R142">
        <v>77.62</v>
      </c>
      <c r="S142">
        <v>36.5</v>
      </c>
      <c r="T142" t="s">
        <v>28</v>
      </c>
      <c r="U142" t="s">
        <v>28</v>
      </c>
      <c r="V142" t="s">
        <v>29</v>
      </c>
      <c r="W142" t="s">
        <v>242</v>
      </c>
    </row>
    <row r="143" spans="1:23" x14ac:dyDescent="0.3">
      <c r="A143">
        <v>79</v>
      </c>
      <c r="B143" t="str">
        <f>HYPERLINK("https://imapinvasives.natureserve.org/imap/services/page/Presence/1390119.html", "View")</f>
        <v>View</v>
      </c>
      <c r="C143">
        <v>1390119</v>
      </c>
      <c r="D143">
        <v>1408225</v>
      </c>
      <c r="E143" t="str">
        <f>HYPERLINK("http://imap3images.s3-website-us-east-1.amazonaws.com/1408225/p/imap_app_photo_1709339009764.jpg", "View")</f>
        <v>View</v>
      </c>
      <c r="F143" t="s">
        <v>94</v>
      </c>
      <c r="G143" t="s">
        <v>95</v>
      </c>
      <c r="H143">
        <v>58727</v>
      </c>
      <c r="I143" t="str">
        <f>HYPERLINK("https://www.inaturalist.org/taxa/43794-Castor-canadensis", "View")</f>
        <v>View</v>
      </c>
      <c r="J143" t="s">
        <v>100</v>
      </c>
      <c r="K143" t="s">
        <v>101</v>
      </c>
      <c r="L143">
        <v>43794</v>
      </c>
      <c r="M143">
        <v>22.17</v>
      </c>
      <c r="N143">
        <v>7.94</v>
      </c>
      <c r="O143">
        <v>0</v>
      </c>
      <c r="P143" t="s">
        <v>32</v>
      </c>
      <c r="Q143" t="s">
        <v>48</v>
      </c>
      <c r="R143">
        <v>90.06</v>
      </c>
      <c r="S143">
        <v>36.549999999999997</v>
      </c>
      <c r="T143" t="s">
        <v>27</v>
      </c>
      <c r="U143" t="s">
        <v>27</v>
      </c>
      <c r="V143" t="s">
        <v>29</v>
      </c>
      <c r="W143" t="s">
        <v>242</v>
      </c>
    </row>
    <row r="144" spans="1:23" x14ac:dyDescent="0.3">
      <c r="A144">
        <v>84</v>
      </c>
      <c r="B144" t="str">
        <f>HYPERLINK("https://imapinvasives.natureserve.org/imap/services/page/Presence/510330.html", "View")</f>
        <v>View</v>
      </c>
      <c r="C144">
        <v>510330</v>
      </c>
      <c r="D144">
        <v>510330</v>
      </c>
      <c r="E144" t="str">
        <f>HYPERLINK("http://imap3images.s3-website-us-east-1.amazonaws.com/510330/p/photourl1_2017_02_23_walburak_3idht9s8.jpg", "View")</f>
        <v>View</v>
      </c>
      <c r="F144" t="s">
        <v>94</v>
      </c>
      <c r="G144" t="s">
        <v>95</v>
      </c>
      <c r="H144">
        <v>58727</v>
      </c>
      <c r="I144" t="str">
        <f>HYPERLINK("https://www.inaturalist.org/taxa/52740-Vaccinium-corymbosum", "View")</f>
        <v>View</v>
      </c>
      <c r="J144" t="s">
        <v>119</v>
      </c>
      <c r="K144" t="s">
        <v>120</v>
      </c>
      <c r="L144">
        <v>52740</v>
      </c>
      <c r="M144">
        <v>42.96</v>
      </c>
      <c r="N144">
        <v>28.1</v>
      </c>
      <c r="O144">
        <v>0</v>
      </c>
      <c r="P144" t="s">
        <v>32</v>
      </c>
      <c r="Q144" t="s">
        <v>48</v>
      </c>
      <c r="R144">
        <v>90.06</v>
      </c>
      <c r="S144">
        <v>36.549999999999997</v>
      </c>
      <c r="T144" t="s">
        <v>27</v>
      </c>
      <c r="U144" t="s">
        <v>28</v>
      </c>
      <c r="V144" t="s">
        <v>29</v>
      </c>
      <c r="W144" t="s">
        <v>242</v>
      </c>
    </row>
    <row r="145" spans="1:23" x14ac:dyDescent="0.3">
      <c r="A145">
        <v>86</v>
      </c>
      <c r="B145" t="str">
        <f>HYPERLINK("https://imapinvasives.natureserve.org/imap/services/page/Presence/1390083.html", "View")</f>
        <v>View</v>
      </c>
      <c r="C145">
        <v>1390083</v>
      </c>
      <c r="D145">
        <v>1408190</v>
      </c>
      <c r="E145" t="str">
        <f>HYPERLINK("http://imap3images.s3-website-us-east-1.amazonaws.com/1408190/p/2024-02-24_(12)_2nd_bush.JPG", "View")</f>
        <v>View</v>
      </c>
      <c r="F145" t="s">
        <v>94</v>
      </c>
      <c r="G145" t="s">
        <v>95</v>
      </c>
      <c r="H145">
        <v>58727</v>
      </c>
      <c r="I145" t="str">
        <f>HYPERLINK("https://www.inaturalist.org/taxa/58727-Berberis-thunbergii", "View")</f>
        <v>View</v>
      </c>
      <c r="J145" t="s">
        <v>94</v>
      </c>
      <c r="K145" t="s">
        <v>99</v>
      </c>
      <c r="L145">
        <v>58727</v>
      </c>
      <c r="M145">
        <v>15.11</v>
      </c>
      <c r="N145">
        <v>33.89</v>
      </c>
      <c r="O145">
        <v>1</v>
      </c>
      <c r="P145" t="s">
        <v>25</v>
      </c>
      <c r="Q145" t="s">
        <v>48</v>
      </c>
      <c r="R145">
        <v>90.06</v>
      </c>
      <c r="S145">
        <v>36.549999999999997</v>
      </c>
      <c r="T145" t="s">
        <v>27</v>
      </c>
      <c r="U145" t="s">
        <v>27</v>
      </c>
      <c r="V145" t="s">
        <v>29</v>
      </c>
      <c r="W145" t="s">
        <v>242</v>
      </c>
    </row>
    <row r="146" spans="1:23" x14ac:dyDescent="0.3">
      <c r="A146">
        <v>87</v>
      </c>
      <c r="B146" t="str">
        <f>HYPERLINK("https://imapinvasives.natureserve.org/imap/services/page/Presence/1271094.html", "View")</f>
        <v>View</v>
      </c>
      <c r="C146">
        <v>1271094</v>
      </c>
      <c r="D146">
        <v>1280034</v>
      </c>
      <c r="E146" t="str">
        <f>HYPERLINK("http://imap3images.s3-website-us-east-1.amazonaws.com/1280034/p/imap_app_photo_1651075674445.jpg", "View")</f>
        <v>View</v>
      </c>
      <c r="F146" t="s">
        <v>94</v>
      </c>
      <c r="G146" t="s">
        <v>95</v>
      </c>
      <c r="H146">
        <v>58727</v>
      </c>
      <c r="I146" t="str">
        <f>HYPERLINK("https://www.inaturalist.org/taxa/58727-Berberis-thunbergii", "View")</f>
        <v>View</v>
      </c>
      <c r="J146" t="s">
        <v>94</v>
      </c>
      <c r="K146" t="s">
        <v>99</v>
      </c>
      <c r="L146">
        <v>58727</v>
      </c>
      <c r="M146">
        <v>15.11</v>
      </c>
      <c r="N146">
        <v>51.28</v>
      </c>
      <c r="O146">
        <v>1</v>
      </c>
      <c r="P146" t="s">
        <v>25</v>
      </c>
      <c r="Q146" t="s">
        <v>48</v>
      </c>
      <c r="R146">
        <v>90.06</v>
      </c>
      <c r="S146">
        <v>36.549999999999997</v>
      </c>
      <c r="T146" t="s">
        <v>27</v>
      </c>
      <c r="U146" t="s">
        <v>27</v>
      </c>
      <c r="V146" t="s">
        <v>29</v>
      </c>
      <c r="W146" t="s">
        <v>242</v>
      </c>
    </row>
    <row r="147" spans="1:23" x14ac:dyDescent="0.3">
      <c r="A147">
        <v>89</v>
      </c>
      <c r="B147" t="str">
        <f>HYPERLINK("https://imapinvasives.natureserve.org/imap/services/page/Presence/1438376.html", "View")</f>
        <v>View</v>
      </c>
      <c r="C147">
        <v>1438376</v>
      </c>
      <c r="D147">
        <v>1452623</v>
      </c>
      <c r="E147" t="str">
        <f>HYPERLINK("http://imap3images.s3-website-us-east-1.amazonaws.com/1452623/p/imap_app_photo_1722435509789.jpg", "View")</f>
        <v>View</v>
      </c>
      <c r="F147" t="s">
        <v>94</v>
      </c>
      <c r="G147" t="s">
        <v>95</v>
      </c>
      <c r="H147">
        <v>58727</v>
      </c>
      <c r="I147" t="str">
        <f>HYPERLINK("https://www.inaturalist.org/taxa/58727-Berberis-thunbergii", "View")</f>
        <v>View</v>
      </c>
      <c r="J147" t="s">
        <v>94</v>
      </c>
      <c r="K147" t="s">
        <v>99</v>
      </c>
      <c r="L147">
        <v>58727</v>
      </c>
      <c r="M147">
        <v>28.34</v>
      </c>
      <c r="N147">
        <v>75.66</v>
      </c>
      <c r="O147">
        <v>1</v>
      </c>
      <c r="P147" t="s">
        <v>25</v>
      </c>
      <c r="Q147" t="s">
        <v>48</v>
      </c>
      <c r="R147">
        <v>90.06</v>
      </c>
      <c r="S147">
        <v>36.549999999999997</v>
      </c>
      <c r="T147" t="s">
        <v>27</v>
      </c>
      <c r="U147" t="s">
        <v>27</v>
      </c>
      <c r="V147" t="s">
        <v>29</v>
      </c>
      <c r="W147" t="s">
        <v>241</v>
      </c>
    </row>
    <row r="148" spans="1:23" x14ac:dyDescent="0.3">
      <c r="A148">
        <v>90</v>
      </c>
      <c r="B148" t="str">
        <f>HYPERLINK("https://imapinvasives.natureserve.org/imap/services/page/Presence/1271832.html", "View")</f>
        <v>View</v>
      </c>
      <c r="C148">
        <v>1271832</v>
      </c>
      <c r="D148">
        <v>1280836</v>
      </c>
      <c r="E148" t="str">
        <f>HYPERLINK("http://imap3images.s3-website-us-east-1.amazonaws.com/1280836/p/Photo1-20220510-155112.jpg", "View")</f>
        <v>View</v>
      </c>
      <c r="F148" t="s">
        <v>122</v>
      </c>
      <c r="G148" t="s">
        <v>123</v>
      </c>
      <c r="H148">
        <v>52856</v>
      </c>
      <c r="I148" t="str">
        <f>HYPERLINK("https://www.inaturalist.org/taxa/144047-Persicaria-virginiana", "View")</f>
        <v>View</v>
      </c>
      <c r="J148" t="s">
        <v>124</v>
      </c>
      <c r="K148" t="s">
        <v>125</v>
      </c>
      <c r="L148">
        <v>144047</v>
      </c>
      <c r="M148">
        <v>77.42</v>
      </c>
      <c r="N148">
        <v>12.45</v>
      </c>
      <c r="O148">
        <v>0</v>
      </c>
      <c r="P148" t="s">
        <v>32</v>
      </c>
      <c r="Q148" t="s">
        <v>48</v>
      </c>
      <c r="R148">
        <v>77.62</v>
      </c>
      <c r="S148">
        <v>36.5</v>
      </c>
      <c r="T148" t="s">
        <v>27</v>
      </c>
      <c r="U148" t="s">
        <v>28</v>
      </c>
      <c r="V148" t="s">
        <v>29</v>
      </c>
      <c r="W148" t="s">
        <v>242</v>
      </c>
    </row>
    <row r="149" spans="1:23" x14ac:dyDescent="0.3">
      <c r="A149">
        <v>90</v>
      </c>
      <c r="B149" t="str">
        <f>HYPERLINK("https://imapinvasives.natureserve.org/imap/services/page/Presence/1271832.html", "View")</f>
        <v>View</v>
      </c>
      <c r="C149">
        <v>1271832</v>
      </c>
      <c r="D149">
        <v>1280834</v>
      </c>
      <c r="E149" t="str">
        <f>HYPERLINK("http://imap3images.s3-website-us-east-1.amazonaws.com/1280834/p/Photo1-20220510-155028.jpg", "View")</f>
        <v>View</v>
      </c>
      <c r="F149" t="s">
        <v>104</v>
      </c>
      <c r="G149" t="s">
        <v>126</v>
      </c>
      <c r="H149">
        <v>64540</v>
      </c>
      <c r="I149" t="str">
        <f>HYPERLINK("https://www.inaturalist.org/taxa/54854-Tilia-americana", "View")</f>
        <v>View</v>
      </c>
      <c r="J149" t="s">
        <v>127</v>
      </c>
      <c r="K149" t="s">
        <v>128</v>
      </c>
      <c r="L149">
        <v>54854</v>
      </c>
      <c r="M149">
        <v>65.69</v>
      </c>
      <c r="N149">
        <v>12.6</v>
      </c>
      <c r="O149">
        <v>0</v>
      </c>
      <c r="P149" t="s">
        <v>32</v>
      </c>
      <c r="Q149" t="s">
        <v>48</v>
      </c>
      <c r="R149">
        <v>65.45</v>
      </c>
      <c r="S149">
        <v>33.65</v>
      </c>
      <c r="T149" t="s">
        <v>27</v>
      </c>
      <c r="U149" t="s">
        <v>28</v>
      </c>
      <c r="V149" t="s">
        <v>29</v>
      </c>
      <c r="W149" t="s">
        <v>242</v>
      </c>
    </row>
    <row r="150" spans="1:23" x14ac:dyDescent="0.3">
      <c r="A150">
        <v>90</v>
      </c>
      <c r="B150" t="str">
        <f>HYPERLINK("https://imapinvasives.natureserve.org/imap/services/page/Presence/1271832.html", "View")</f>
        <v>View</v>
      </c>
      <c r="C150">
        <v>1271832</v>
      </c>
      <c r="D150">
        <v>1280832</v>
      </c>
      <c r="E150" t="str">
        <f>HYPERLINK("http://imap3images.s3-website-us-east-1.amazonaws.com/1280832/p/Photo2-20220510-144146.jpg", "View")</f>
        <v>View</v>
      </c>
      <c r="F150" t="s">
        <v>112</v>
      </c>
      <c r="G150" t="s">
        <v>129</v>
      </c>
      <c r="H150">
        <v>117433</v>
      </c>
      <c r="I150" t="str">
        <f>HYPERLINK("https://www.inaturalist.org/taxa/117433-Euonymus-alatus", "View")</f>
        <v>View</v>
      </c>
      <c r="J150" t="s">
        <v>112</v>
      </c>
      <c r="K150" t="s">
        <v>113</v>
      </c>
      <c r="L150">
        <v>117433</v>
      </c>
      <c r="M150">
        <v>87.1</v>
      </c>
      <c r="N150">
        <v>32.89</v>
      </c>
      <c r="O150">
        <v>1</v>
      </c>
      <c r="P150" t="s">
        <v>25</v>
      </c>
      <c r="Q150" t="s">
        <v>48</v>
      </c>
      <c r="R150">
        <v>77.62</v>
      </c>
      <c r="S150">
        <v>36.5</v>
      </c>
      <c r="T150" t="s">
        <v>27</v>
      </c>
      <c r="U150" t="s">
        <v>28</v>
      </c>
      <c r="V150" t="s">
        <v>29</v>
      </c>
      <c r="W150" t="s">
        <v>242</v>
      </c>
    </row>
    <row r="151" spans="1:23" x14ac:dyDescent="0.3">
      <c r="A151">
        <v>91</v>
      </c>
      <c r="B151" t="str">
        <f>HYPERLINK("https://imapinvasives.natureserve.org/imap/services/page/Presence/1157793.html", "View")</f>
        <v>View</v>
      </c>
      <c r="C151">
        <v>1157793</v>
      </c>
      <c r="D151">
        <v>1164846</v>
      </c>
      <c r="E151" t="str">
        <f>HYPERLINK("http://imap3images.s3-website-us-east-1.amazonaws.com/1164846/p/imap_app_photo_1628711139264.jpg", "View")</f>
        <v>View</v>
      </c>
      <c r="F151" t="s">
        <v>104</v>
      </c>
      <c r="G151" t="s">
        <v>126</v>
      </c>
      <c r="H151">
        <v>64540</v>
      </c>
      <c r="I151" t="str">
        <f>HYPERLINK("https://www.inaturalist.org/taxa/68034-Hieracium-venosum", "View")</f>
        <v>View</v>
      </c>
      <c r="J151" t="s">
        <v>130</v>
      </c>
      <c r="K151" t="s">
        <v>131</v>
      </c>
      <c r="L151">
        <v>68034</v>
      </c>
      <c r="M151">
        <v>20.07</v>
      </c>
      <c r="N151">
        <v>2.5299999999999998</v>
      </c>
      <c r="O151">
        <v>0</v>
      </c>
      <c r="P151" t="s">
        <v>32</v>
      </c>
      <c r="Q151" t="s">
        <v>48</v>
      </c>
      <c r="R151">
        <v>65.45</v>
      </c>
      <c r="S151">
        <v>33.65</v>
      </c>
      <c r="T151" t="s">
        <v>27</v>
      </c>
      <c r="U151" t="s">
        <v>27</v>
      </c>
      <c r="V151" t="s">
        <v>29</v>
      </c>
      <c r="W151" t="s">
        <v>242</v>
      </c>
    </row>
    <row r="152" spans="1:23" x14ac:dyDescent="0.3">
      <c r="A152">
        <v>92</v>
      </c>
      <c r="B152" t="str">
        <f>HYPERLINK("https://imapinvasives.natureserve.org/imap/services/page/Presence/1390067.html", "View")</f>
        <v>View</v>
      </c>
      <c r="C152">
        <v>1390067</v>
      </c>
      <c r="D152">
        <v>1408171</v>
      </c>
      <c r="E152" t="str">
        <f>HYPERLINK("http://imap3images.s3-website-us-east-1.amazonaws.com/1408171/p/imap_app_photo_1708899331664.jpg", "View")</f>
        <v>View</v>
      </c>
      <c r="F152" t="s">
        <v>104</v>
      </c>
      <c r="G152" t="s">
        <v>126</v>
      </c>
      <c r="H152">
        <v>64540</v>
      </c>
      <c r="I152" t="str">
        <f>HYPERLINK("https://www.inaturalist.org/taxa/204160-Ligustrum-obtusifolium", "View")</f>
        <v>View</v>
      </c>
      <c r="J152" t="s">
        <v>132</v>
      </c>
      <c r="K152" t="s">
        <v>133</v>
      </c>
      <c r="L152">
        <v>204160</v>
      </c>
      <c r="M152">
        <v>18.96</v>
      </c>
      <c r="N152">
        <v>19.239999999999998</v>
      </c>
      <c r="O152">
        <v>0</v>
      </c>
      <c r="P152" t="s">
        <v>32</v>
      </c>
      <c r="Q152" t="s">
        <v>48</v>
      </c>
      <c r="R152">
        <v>65.45</v>
      </c>
      <c r="S152">
        <v>33.65</v>
      </c>
      <c r="T152" t="s">
        <v>27</v>
      </c>
      <c r="U152" t="s">
        <v>27</v>
      </c>
      <c r="V152" t="s">
        <v>29</v>
      </c>
      <c r="W152" t="s">
        <v>242</v>
      </c>
    </row>
    <row r="153" spans="1:23" x14ac:dyDescent="0.3">
      <c r="A153">
        <v>93</v>
      </c>
      <c r="B153" t="str">
        <f>HYPERLINK("https://imapinvasives.natureserve.org/imap/services/page/Presence/1272705.html", "View")</f>
        <v>View</v>
      </c>
      <c r="C153">
        <v>1272705</v>
      </c>
      <c r="D153">
        <v>1281776</v>
      </c>
      <c r="E153" t="str">
        <f>HYPERLINK("http://imap3images.s3-website-us-east-1.amazonaws.com/1281776/p/Photo3-20220524-141620.jpg", "View")</f>
        <v>View</v>
      </c>
      <c r="F153" t="s">
        <v>104</v>
      </c>
      <c r="G153" t="s">
        <v>126</v>
      </c>
      <c r="H153">
        <v>64540</v>
      </c>
      <c r="I153" t="str">
        <f>HYPERLINK("https://www.inaturalist.org/taxa/64540-Celastrus-orbiculatus", "View")</f>
        <v>View</v>
      </c>
      <c r="J153" t="s">
        <v>104</v>
      </c>
      <c r="K153" t="s">
        <v>105</v>
      </c>
      <c r="L153">
        <v>64540</v>
      </c>
      <c r="M153">
        <v>90.68</v>
      </c>
      <c r="N153">
        <v>16.27</v>
      </c>
      <c r="O153">
        <v>1</v>
      </c>
      <c r="P153" t="s">
        <v>25</v>
      </c>
      <c r="Q153" t="s">
        <v>48</v>
      </c>
      <c r="R153">
        <v>65.45</v>
      </c>
      <c r="S153">
        <v>33.65</v>
      </c>
      <c r="T153" t="s">
        <v>27</v>
      </c>
      <c r="U153" t="s">
        <v>28</v>
      </c>
      <c r="V153" t="s">
        <v>29</v>
      </c>
      <c r="W153" t="s">
        <v>242</v>
      </c>
    </row>
    <row r="154" spans="1:23" x14ac:dyDescent="0.3">
      <c r="A154">
        <v>95</v>
      </c>
      <c r="B154" t="str">
        <f>HYPERLINK("https://imapinvasives.natureserve.org/imap/services/page/Presence/1275086.html", "View")</f>
        <v>View</v>
      </c>
      <c r="C154">
        <v>1275086</v>
      </c>
      <c r="D154">
        <v>1284410</v>
      </c>
      <c r="E154" t="str">
        <f>HYPERLINK("http://imap3images.s3-website-us-east-1.amazonaws.com/1284410/p/imap_app_photo_1655322159132.jpg", "View")</f>
        <v>View</v>
      </c>
      <c r="F154" t="s">
        <v>104</v>
      </c>
      <c r="G154" t="s">
        <v>126</v>
      </c>
      <c r="H154">
        <v>64540</v>
      </c>
      <c r="I154" t="str">
        <f>HYPERLINK("https://www.inaturalist.org/taxa/54805-Fraxinus-americana", "View")</f>
        <v>View</v>
      </c>
      <c r="J154" t="s">
        <v>134</v>
      </c>
      <c r="K154" t="s">
        <v>135</v>
      </c>
      <c r="L154">
        <v>54805</v>
      </c>
      <c r="M154">
        <v>10.39</v>
      </c>
      <c r="N154">
        <v>20.04</v>
      </c>
      <c r="O154">
        <v>0</v>
      </c>
      <c r="P154" t="s">
        <v>32</v>
      </c>
      <c r="Q154" t="s">
        <v>48</v>
      </c>
      <c r="R154">
        <v>65.45</v>
      </c>
      <c r="S154">
        <v>33.65</v>
      </c>
      <c r="T154" t="s">
        <v>27</v>
      </c>
      <c r="U154" t="s">
        <v>27</v>
      </c>
      <c r="V154" t="s">
        <v>29</v>
      </c>
      <c r="W154" t="s">
        <v>241</v>
      </c>
    </row>
    <row r="155" spans="1:23" x14ac:dyDescent="0.3">
      <c r="A155">
        <v>96</v>
      </c>
      <c r="B155" t="str">
        <f>HYPERLINK("https://imapinvasives.natureserve.org/imap/services/page/Presence/1037215.html", "View")</f>
        <v>View</v>
      </c>
      <c r="C155">
        <v>1037215</v>
      </c>
      <c r="D155">
        <v>1040540</v>
      </c>
      <c r="E155" t="str">
        <f>HYPERLINK("http://imap3images.s3-website-us-east-1.amazonaws.com/1040540/p/imap_app_photo_1573678271155.jpg", "View")</f>
        <v>View</v>
      </c>
      <c r="F155" t="s">
        <v>104</v>
      </c>
      <c r="G155" t="s">
        <v>126</v>
      </c>
      <c r="H155">
        <v>64540</v>
      </c>
      <c r="I155" t="str">
        <f>HYPERLINK("https://www.inaturalist.org/taxa/64540-Celastrus-orbiculatus", "View")</f>
        <v>View</v>
      </c>
      <c r="J155" t="s">
        <v>104</v>
      </c>
      <c r="K155" t="s">
        <v>105</v>
      </c>
      <c r="L155">
        <v>64540</v>
      </c>
      <c r="M155">
        <v>48.5</v>
      </c>
      <c r="N155">
        <v>20.329999999999998</v>
      </c>
      <c r="O155">
        <v>1</v>
      </c>
      <c r="P155" t="s">
        <v>25</v>
      </c>
      <c r="Q155" t="s">
        <v>48</v>
      </c>
      <c r="R155">
        <v>65.45</v>
      </c>
      <c r="S155">
        <v>33.65</v>
      </c>
      <c r="T155" t="s">
        <v>27</v>
      </c>
      <c r="U155" t="s">
        <v>28</v>
      </c>
      <c r="V155" t="s">
        <v>29</v>
      </c>
      <c r="W155" t="s">
        <v>242</v>
      </c>
    </row>
    <row r="156" spans="1:23" x14ac:dyDescent="0.3">
      <c r="A156">
        <v>98</v>
      </c>
      <c r="B156" t="str">
        <f>HYPERLINK("https://imapinvasives.natureserve.org/imap/services/page/Presence/450686.html", "View")</f>
        <v>View</v>
      </c>
      <c r="C156">
        <v>450686</v>
      </c>
      <c r="D156">
        <v>450686</v>
      </c>
      <c r="E156" t="str">
        <f>HYPERLINK("http://imap3images.s3-website-us-east-1.amazonaws.com/450686/p/photourl3_2015_11_10_cornellfield5_yknnhoxy.jpg", "View")</f>
        <v>View</v>
      </c>
      <c r="F156" t="s">
        <v>104</v>
      </c>
      <c r="G156" t="s">
        <v>126</v>
      </c>
      <c r="H156">
        <v>64540</v>
      </c>
      <c r="I156" t="str">
        <f>HYPERLINK("https://www.inaturalist.org/taxa/43584-Homo-sapiens", "View")</f>
        <v>View</v>
      </c>
      <c r="J156" t="s">
        <v>136</v>
      </c>
      <c r="K156" t="s">
        <v>137</v>
      </c>
      <c r="L156">
        <v>43584</v>
      </c>
      <c r="M156">
        <v>10.17</v>
      </c>
      <c r="N156">
        <v>3.65</v>
      </c>
      <c r="O156">
        <v>0</v>
      </c>
      <c r="P156" t="s">
        <v>32</v>
      </c>
      <c r="Q156" t="s">
        <v>48</v>
      </c>
      <c r="R156">
        <v>65.45</v>
      </c>
      <c r="S156">
        <v>33.65</v>
      </c>
      <c r="T156" t="s">
        <v>27</v>
      </c>
      <c r="U156" t="s">
        <v>27</v>
      </c>
      <c r="V156" t="s">
        <v>29</v>
      </c>
      <c r="W156" t="s">
        <v>242</v>
      </c>
    </row>
    <row r="157" spans="1:23" x14ac:dyDescent="0.3">
      <c r="A157">
        <v>101</v>
      </c>
      <c r="B157" t="str">
        <f>HYPERLINK("https://imapinvasives.natureserve.org/imap/services/page/Presence/1279659.html", "View")</f>
        <v>View</v>
      </c>
      <c r="C157">
        <v>1279659</v>
      </c>
      <c r="D157">
        <v>1289023</v>
      </c>
      <c r="E157" t="str">
        <f>HYPERLINK("http://imap3images.s3-website-us-east-1.amazonaws.com/1289023/p/imap_app_photo_1656091979896.jpg", "View")</f>
        <v>View</v>
      </c>
      <c r="F157" t="s">
        <v>104</v>
      </c>
      <c r="G157" t="s">
        <v>126</v>
      </c>
      <c r="H157">
        <v>64540</v>
      </c>
      <c r="I157" t="str">
        <f>HYPERLINK("https://www.inaturalist.org/taxa/64540-Celastrus-orbiculatus", "View")</f>
        <v>View</v>
      </c>
      <c r="J157" t="s">
        <v>104</v>
      </c>
      <c r="K157" t="s">
        <v>105</v>
      </c>
      <c r="L157">
        <v>64540</v>
      </c>
      <c r="M157">
        <v>20.72</v>
      </c>
      <c r="N157">
        <v>59.1</v>
      </c>
      <c r="O157">
        <v>1</v>
      </c>
      <c r="P157" t="s">
        <v>25</v>
      </c>
      <c r="Q157" t="s">
        <v>48</v>
      </c>
      <c r="R157">
        <v>65.45</v>
      </c>
      <c r="S157">
        <v>33.65</v>
      </c>
      <c r="T157" t="s">
        <v>27</v>
      </c>
      <c r="U157" t="s">
        <v>27</v>
      </c>
      <c r="V157" t="s">
        <v>29</v>
      </c>
      <c r="W157" t="s">
        <v>241</v>
      </c>
    </row>
    <row r="158" spans="1:23" x14ac:dyDescent="0.3">
      <c r="A158">
        <v>103</v>
      </c>
      <c r="B158" t="str">
        <f>HYPERLINK("https://imapinvasives.natureserve.org/imap/services/page/Presence/1281910.html", "View")</f>
        <v>View</v>
      </c>
      <c r="C158">
        <v>1281910</v>
      </c>
      <c r="D158">
        <v>1291343</v>
      </c>
      <c r="E158" t="str">
        <f>HYPERLINK("http://imap3images.s3-website-us-east-1.amazonaws.com/1291343/p/imap_app_photo_1657463694078.jpg", "View")</f>
        <v>View</v>
      </c>
      <c r="F158" t="s">
        <v>104</v>
      </c>
      <c r="G158" t="s">
        <v>126</v>
      </c>
      <c r="H158">
        <v>64540</v>
      </c>
      <c r="I158" t="str">
        <f>HYPERLINK("https://www.inaturalist.org/taxa/64538-Celastrus-scandens", "View")</f>
        <v>View</v>
      </c>
      <c r="J158" t="s">
        <v>138</v>
      </c>
      <c r="K158" t="s">
        <v>139</v>
      </c>
      <c r="L158">
        <v>64538</v>
      </c>
      <c r="M158">
        <v>11.34</v>
      </c>
      <c r="N158">
        <v>88.11</v>
      </c>
      <c r="O158">
        <v>0</v>
      </c>
      <c r="P158" t="s">
        <v>32</v>
      </c>
      <c r="Q158" t="s">
        <v>48</v>
      </c>
      <c r="R158">
        <v>65.45</v>
      </c>
      <c r="S158">
        <v>33.65</v>
      </c>
      <c r="T158" t="s">
        <v>28</v>
      </c>
      <c r="U158" t="s">
        <v>27</v>
      </c>
      <c r="V158" t="s">
        <v>29</v>
      </c>
      <c r="W158" t="s">
        <v>241</v>
      </c>
    </row>
    <row r="159" spans="1:23" x14ac:dyDescent="0.3">
      <c r="A159">
        <v>105</v>
      </c>
      <c r="B159" t="str">
        <f>HYPERLINK("https://imapinvasives.natureserve.org/imap/services/page/Presence/1335107.html", "View")</f>
        <v>View</v>
      </c>
      <c r="C159">
        <v>1335107</v>
      </c>
      <c r="D159">
        <v>1349372</v>
      </c>
      <c r="E159" t="str">
        <f>HYPERLINK("http://imap3images.s3-website-us-east-1.amazonaws.com/1349372/p/imap_app_photo_1686674639320.jpg", "View")</f>
        <v>View</v>
      </c>
      <c r="F159" t="s">
        <v>104</v>
      </c>
      <c r="G159" t="s">
        <v>126</v>
      </c>
      <c r="H159">
        <v>64540</v>
      </c>
      <c r="I159" t="str">
        <f>HYPERLINK("https://www.inaturalist.org/taxa/54811-Rhamnus-cathartica", "View")</f>
        <v>View</v>
      </c>
      <c r="J159" t="s">
        <v>140</v>
      </c>
      <c r="K159" t="s">
        <v>141</v>
      </c>
      <c r="L159">
        <v>54811</v>
      </c>
      <c r="M159">
        <v>42.32</v>
      </c>
      <c r="N159">
        <v>93.7</v>
      </c>
      <c r="O159">
        <v>0</v>
      </c>
      <c r="P159" t="s">
        <v>32</v>
      </c>
      <c r="Q159" t="s">
        <v>48</v>
      </c>
      <c r="R159">
        <v>65.45</v>
      </c>
      <c r="S159">
        <v>33.65</v>
      </c>
      <c r="T159" t="s">
        <v>28</v>
      </c>
      <c r="U159" t="s">
        <v>28</v>
      </c>
      <c r="V159" t="s">
        <v>29</v>
      </c>
      <c r="W159" t="s">
        <v>241</v>
      </c>
    </row>
    <row r="160" spans="1:23" x14ac:dyDescent="0.3">
      <c r="A160">
        <v>106</v>
      </c>
      <c r="B160" t="str">
        <f>HYPERLINK("https://imapinvasives.natureserve.org/imap/services/page/Presence/1438378.html", "View")</f>
        <v>View</v>
      </c>
      <c r="C160">
        <v>1438378</v>
      </c>
      <c r="D160">
        <v>1452625</v>
      </c>
      <c r="E160" t="str">
        <f>HYPERLINK("http://imap3images.s3-website-us-east-1.amazonaws.com/1452625/p/imap_app_photo_1722435524412.jpg", "View")</f>
        <v>View</v>
      </c>
      <c r="F160" t="s">
        <v>104</v>
      </c>
      <c r="G160" t="s">
        <v>126</v>
      </c>
      <c r="H160">
        <v>64540</v>
      </c>
      <c r="I160" t="str">
        <f>HYPERLINK("https://www.inaturalist.org/taxa/64540-Celastrus-orbiculatus", "View")</f>
        <v>View</v>
      </c>
      <c r="J160" t="s">
        <v>104</v>
      </c>
      <c r="K160" t="s">
        <v>105</v>
      </c>
      <c r="L160">
        <v>64540</v>
      </c>
      <c r="M160">
        <v>19.52</v>
      </c>
      <c r="N160">
        <v>48.05</v>
      </c>
      <c r="O160">
        <v>1</v>
      </c>
      <c r="P160" t="s">
        <v>25</v>
      </c>
      <c r="Q160" t="s">
        <v>48</v>
      </c>
      <c r="R160">
        <v>65.45</v>
      </c>
      <c r="S160">
        <v>33.65</v>
      </c>
      <c r="T160" t="s">
        <v>27</v>
      </c>
      <c r="U160" t="s">
        <v>27</v>
      </c>
      <c r="V160" t="s">
        <v>29</v>
      </c>
      <c r="W160" t="s">
        <v>242</v>
      </c>
    </row>
    <row r="161" spans="1:23" x14ac:dyDescent="0.3">
      <c r="A161">
        <v>107</v>
      </c>
      <c r="B161" t="str">
        <f>HYPERLINK("https://imapinvasives.natureserve.org/imap/services/page/Presence/1417259.html", "View")</f>
        <v>View</v>
      </c>
      <c r="C161">
        <v>1417259</v>
      </c>
      <c r="D161">
        <v>1430907</v>
      </c>
      <c r="E161" t="str">
        <f>HYPERLINK("http://imap3images.s3-website-us-east-1.amazonaws.com/1430907/p/imap_app_photo_1720636503624.jpg", "View")</f>
        <v>View</v>
      </c>
      <c r="F161" t="s">
        <v>104</v>
      </c>
      <c r="G161" t="s">
        <v>126</v>
      </c>
      <c r="H161">
        <v>64540</v>
      </c>
      <c r="I161" t="str">
        <f>HYPERLINK("https://www.inaturalist.org/taxa/64540-Celastrus-orbiculatus", "View")</f>
        <v>View</v>
      </c>
      <c r="J161" t="s">
        <v>104</v>
      </c>
      <c r="K161" t="s">
        <v>105</v>
      </c>
      <c r="L161">
        <v>64540</v>
      </c>
      <c r="M161">
        <v>82.08</v>
      </c>
      <c r="N161">
        <v>44.73</v>
      </c>
      <c r="O161">
        <v>1</v>
      </c>
      <c r="P161" t="s">
        <v>25</v>
      </c>
      <c r="Q161" t="s">
        <v>48</v>
      </c>
      <c r="R161">
        <v>65.45</v>
      </c>
      <c r="S161">
        <v>33.65</v>
      </c>
      <c r="T161" t="s">
        <v>27</v>
      </c>
      <c r="U161" t="s">
        <v>28</v>
      </c>
      <c r="V161" t="s">
        <v>29</v>
      </c>
      <c r="W161" t="s">
        <v>242</v>
      </c>
    </row>
    <row r="162" spans="1:23" x14ac:dyDescent="0.3">
      <c r="A162">
        <v>112</v>
      </c>
      <c r="B162" t="str">
        <f>HYPERLINK("https://imapinvasives.natureserve.org/imap/services/page/Presence/450719.html", "View")</f>
        <v>View</v>
      </c>
      <c r="C162">
        <v>450719</v>
      </c>
      <c r="D162">
        <v>450719</v>
      </c>
      <c r="E162" t="str">
        <f>HYPERLINK("http://imap3images.s3-website-us-east-1.amazonaws.com/450719/p/photourl1_2015_11_11_cornellfield3_x0x0nnyv.jpg", "View")</f>
        <v>View</v>
      </c>
      <c r="F162" t="s">
        <v>104</v>
      </c>
      <c r="G162" t="s">
        <v>126</v>
      </c>
      <c r="H162">
        <v>64540</v>
      </c>
      <c r="I162" t="str">
        <f>HYPERLINK("https://www.inaturalist.org/taxa/125489-Rubus-occidentalis", "View")</f>
        <v>View</v>
      </c>
      <c r="J162" t="s">
        <v>142</v>
      </c>
      <c r="K162" t="s">
        <v>143</v>
      </c>
      <c r="L162">
        <v>125489</v>
      </c>
      <c r="M162">
        <v>17.38</v>
      </c>
      <c r="N162">
        <v>21.36</v>
      </c>
      <c r="O162">
        <v>0</v>
      </c>
      <c r="P162" t="s">
        <v>32</v>
      </c>
      <c r="Q162" t="s">
        <v>48</v>
      </c>
      <c r="R162">
        <v>65.45</v>
      </c>
      <c r="S162">
        <v>33.65</v>
      </c>
      <c r="T162" t="s">
        <v>27</v>
      </c>
      <c r="U162" t="s">
        <v>27</v>
      </c>
      <c r="V162" t="s">
        <v>29</v>
      </c>
      <c r="W162" t="s">
        <v>242</v>
      </c>
    </row>
    <row r="163" spans="1:23" x14ac:dyDescent="0.3">
      <c r="A163">
        <v>114</v>
      </c>
      <c r="B163" t="str">
        <f>HYPERLINK("https://imapinvasives.natureserve.org/imap/services/page/Presence/1280871.html", "View")</f>
        <v>View</v>
      </c>
      <c r="C163">
        <v>1280871</v>
      </c>
      <c r="D163">
        <v>1290281</v>
      </c>
      <c r="E163" t="str">
        <f>HYPERLINK("http://imap3images.s3-website-us-east-1.amazonaws.com/1290281/p/imap_app_photo_1656713514530.jpg", "View")</f>
        <v>View</v>
      </c>
      <c r="F163" t="s">
        <v>104</v>
      </c>
      <c r="G163" t="s">
        <v>126</v>
      </c>
      <c r="H163">
        <v>64540</v>
      </c>
      <c r="I163" t="s">
        <v>33</v>
      </c>
      <c r="J163" t="s">
        <v>33</v>
      </c>
      <c r="K163" t="s">
        <v>33</v>
      </c>
      <c r="L163" t="s">
        <v>33</v>
      </c>
      <c r="M163" t="s">
        <v>33</v>
      </c>
      <c r="N163" t="s">
        <v>33</v>
      </c>
      <c r="O163">
        <v>0</v>
      </c>
      <c r="P163" t="s">
        <v>32</v>
      </c>
      <c r="Q163" t="s">
        <v>48</v>
      </c>
      <c r="R163">
        <v>65.45</v>
      </c>
      <c r="S163">
        <v>33.65</v>
      </c>
      <c r="T163" t="s">
        <v>27</v>
      </c>
      <c r="U163" t="s">
        <v>27</v>
      </c>
      <c r="V163" t="s">
        <v>29</v>
      </c>
      <c r="W163" t="s">
        <v>242</v>
      </c>
    </row>
    <row r="164" spans="1:23" x14ac:dyDescent="0.3">
      <c r="A164">
        <v>118</v>
      </c>
      <c r="B164" t="str">
        <f>HYPERLINK("https://imapinvasives.natureserve.org/imap/services/page/Presence/1145525.html", "View")</f>
        <v>View</v>
      </c>
      <c r="C164">
        <v>1145525</v>
      </c>
      <c r="D164">
        <v>1152057</v>
      </c>
      <c r="E164" t="str">
        <f>HYPERLINK("http://imap3images.s3-website-us-east-1.amazonaws.com/1152057/p/imap_app_photo_1623426384038.jpg", "View")</f>
        <v>View</v>
      </c>
      <c r="F164" t="s">
        <v>104</v>
      </c>
      <c r="G164" t="s">
        <v>126</v>
      </c>
      <c r="H164">
        <v>64540</v>
      </c>
      <c r="I164" t="str">
        <f>HYPERLINK("https://www.inaturalist.org/taxa/64540-Celastrus-orbiculatus", "View")</f>
        <v>View</v>
      </c>
      <c r="J164" t="s">
        <v>104</v>
      </c>
      <c r="K164" t="s">
        <v>105</v>
      </c>
      <c r="L164">
        <v>64540</v>
      </c>
      <c r="M164">
        <v>14.64</v>
      </c>
      <c r="N164">
        <v>49.12</v>
      </c>
      <c r="O164">
        <v>1</v>
      </c>
      <c r="P164" t="s">
        <v>25</v>
      </c>
      <c r="Q164" t="s">
        <v>48</v>
      </c>
      <c r="R164">
        <v>65.45</v>
      </c>
      <c r="S164">
        <v>33.65</v>
      </c>
      <c r="T164" t="s">
        <v>27</v>
      </c>
      <c r="U164" t="s">
        <v>27</v>
      </c>
      <c r="V164" t="s">
        <v>29</v>
      </c>
      <c r="W164" t="s">
        <v>242</v>
      </c>
    </row>
    <row r="165" spans="1:23" x14ac:dyDescent="0.3">
      <c r="A165">
        <v>121</v>
      </c>
      <c r="B165" t="str">
        <f>HYPERLINK("https://imapinvasives.natureserve.org/imap/services/page/Presence/1290023.html", "View")</f>
        <v>View</v>
      </c>
      <c r="C165">
        <v>1290023</v>
      </c>
      <c r="D165">
        <v>1300206</v>
      </c>
      <c r="E165" t="str">
        <f>HYPERLINK("http://imap3images.s3-website-us-east-1.amazonaws.com/1300206/p/imap_app_photo_1661626022896.jpg", "View")</f>
        <v>View</v>
      </c>
      <c r="F165" t="s">
        <v>144</v>
      </c>
      <c r="G165" t="s">
        <v>145</v>
      </c>
      <c r="H165">
        <v>1103716</v>
      </c>
      <c r="I165" t="str">
        <f>HYPERLINK("https://www.inaturalist.org/taxa/49202-Fagus-grandifolia", "View")</f>
        <v>View</v>
      </c>
      <c r="J165" t="s">
        <v>148</v>
      </c>
      <c r="K165" t="s">
        <v>149</v>
      </c>
      <c r="L165">
        <v>49202</v>
      </c>
      <c r="M165">
        <v>73.599999999999994</v>
      </c>
      <c r="N165">
        <v>39.49</v>
      </c>
      <c r="O165">
        <v>0</v>
      </c>
      <c r="P165" t="s">
        <v>32</v>
      </c>
      <c r="Q165" t="s">
        <v>91</v>
      </c>
      <c r="R165">
        <v>86.69</v>
      </c>
      <c r="S165">
        <v>21.54</v>
      </c>
      <c r="T165" t="s">
        <v>27</v>
      </c>
      <c r="U165" t="s">
        <v>28</v>
      </c>
      <c r="V165" t="s">
        <v>29</v>
      </c>
      <c r="W165" t="s">
        <v>242</v>
      </c>
    </row>
    <row r="166" spans="1:23" x14ac:dyDescent="0.3">
      <c r="A166">
        <v>122</v>
      </c>
      <c r="B166" t="str">
        <f>HYPERLINK("https://imapinvasives.natureserve.org/imap/services/page/Presence/1393891.html", "View")</f>
        <v>View</v>
      </c>
      <c r="C166">
        <v>1393891</v>
      </c>
      <c r="D166">
        <v>1412172</v>
      </c>
      <c r="E166" t="str">
        <f>HYPERLINK("http://imap3images.s3-website-us-east-1.amazonaws.com/1412172/p/Beech_2.jpg", "View")</f>
        <v>View</v>
      </c>
      <c r="F166" t="s">
        <v>144</v>
      </c>
      <c r="G166" t="s">
        <v>145</v>
      </c>
      <c r="H166">
        <v>1103716</v>
      </c>
      <c r="I166" t="str">
        <f>HYPERLINK("https://www.inaturalist.org/taxa/70057-Agrilus-planipennis", "View")</f>
        <v>View</v>
      </c>
      <c r="J166" t="s">
        <v>150</v>
      </c>
      <c r="K166" t="s">
        <v>151</v>
      </c>
      <c r="L166">
        <v>70057</v>
      </c>
      <c r="M166">
        <v>42.87</v>
      </c>
      <c r="N166">
        <v>25.86</v>
      </c>
      <c r="O166">
        <v>0</v>
      </c>
      <c r="P166" t="s">
        <v>32</v>
      </c>
      <c r="Q166" t="s">
        <v>91</v>
      </c>
      <c r="R166">
        <v>86.69</v>
      </c>
      <c r="S166">
        <v>21.54</v>
      </c>
      <c r="T166" t="s">
        <v>27</v>
      </c>
      <c r="U166" t="s">
        <v>28</v>
      </c>
      <c r="V166" t="s">
        <v>29</v>
      </c>
      <c r="W166" t="s">
        <v>242</v>
      </c>
    </row>
    <row r="167" spans="1:23" x14ac:dyDescent="0.3">
      <c r="A167">
        <v>123</v>
      </c>
      <c r="B167" t="str">
        <f>HYPERLINK("https://imapinvasives.natureserve.org/imap/services/page/Presence/1412221.html", "View")</f>
        <v>View</v>
      </c>
      <c r="C167">
        <v>1412221</v>
      </c>
      <c r="D167">
        <v>1424917</v>
      </c>
      <c r="E167" t="str">
        <f>HYPERLINK("http://imap3images.s3-website-us-east-1.amazonaws.com/1424917/p/imap_app_photo_1718889124929.jpg", "View")</f>
        <v>View</v>
      </c>
      <c r="F167" t="s">
        <v>144</v>
      </c>
      <c r="G167" t="s">
        <v>145</v>
      </c>
      <c r="H167">
        <v>1103716</v>
      </c>
      <c r="I167" t="str">
        <f>HYPERLINK("https://www.inaturalist.org/taxa/49202-Fagus-grandifolia", "View")</f>
        <v>View</v>
      </c>
      <c r="J167" t="s">
        <v>148</v>
      </c>
      <c r="K167" t="s">
        <v>149</v>
      </c>
      <c r="L167">
        <v>49202</v>
      </c>
      <c r="M167">
        <v>63.93</v>
      </c>
      <c r="N167">
        <v>44.77</v>
      </c>
      <c r="O167">
        <v>0</v>
      </c>
      <c r="P167" t="s">
        <v>32</v>
      </c>
      <c r="Q167" t="s">
        <v>91</v>
      </c>
      <c r="R167">
        <v>86.69</v>
      </c>
      <c r="S167">
        <v>21.54</v>
      </c>
      <c r="T167" t="s">
        <v>27</v>
      </c>
      <c r="U167" t="s">
        <v>28</v>
      </c>
      <c r="V167" t="s">
        <v>29</v>
      </c>
      <c r="W167" t="s">
        <v>242</v>
      </c>
    </row>
    <row r="168" spans="1:23" x14ac:dyDescent="0.3">
      <c r="A168">
        <v>124</v>
      </c>
      <c r="B168" t="str">
        <f>HYPERLINK("https://imapinvasives.natureserve.org/imap/services/page/Presence/1297945.html", "View")</f>
        <v>View</v>
      </c>
      <c r="C168">
        <v>1297945</v>
      </c>
      <c r="D168">
        <v>1308199</v>
      </c>
      <c r="E168" t="str">
        <f>HYPERLINK("http://imap3images.s3-website-us-east-1.amazonaws.com/1308199/p/imap_app_photo_1664400586377.jpg", "View")</f>
        <v>View</v>
      </c>
      <c r="F168" t="s">
        <v>144</v>
      </c>
      <c r="G168" t="s">
        <v>145</v>
      </c>
      <c r="H168">
        <v>1103716</v>
      </c>
      <c r="I168" t="s">
        <v>33</v>
      </c>
      <c r="J168" t="s">
        <v>33</v>
      </c>
      <c r="K168" t="s">
        <v>33</v>
      </c>
      <c r="L168" t="s">
        <v>33</v>
      </c>
      <c r="M168" t="s">
        <v>33</v>
      </c>
      <c r="N168" t="s">
        <v>33</v>
      </c>
      <c r="O168">
        <v>0</v>
      </c>
      <c r="P168" t="s">
        <v>32</v>
      </c>
      <c r="Q168" t="s">
        <v>91</v>
      </c>
      <c r="R168">
        <v>86.69</v>
      </c>
      <c r="S168">
        <v>21.54</v>
      </c>
      <c r="T168" t="s">
        <v>27</v>
      </c>
      <c r="U168" t="s">
        <v>27</v>
      </c>
      <c r="V168" t="s">
        <v>29</v>
      </c>
      <c r="W168" t="s">
        <v>242</v>
      </c>
    </row>
    <row r="169" spans="1:23" x14ac:dyDescent="0.3">
      <c r="A169">
        <v>125</v>
      </c>
      <c r="B169" t="str">
        <f>HYPERLINK("https://imapinvasives.natureserve.org/imap/services/page/Presence/1286520.html", "View")</f>
        <v>View</v>
      </c>
      <c r="C169">
        <v>1286520</v>
      </c>
      <c r="D169">
        <v>1296253</v>
      </c>
      <c r="E169" t="str">
        <f>HYPERLINK("http://imap3images.s3-website-us-east-1.amazonaws.com/1296253/p/imap_app_photo_1660327122591.jpg", "View")</f>
        <v>View</v>
      </c>
      <c r="F169" t="s">
        <v>144</v>
      </c>
      <c r="G169" t="s">
        <v>145</v>
      </c>
      <c r="H169">
        <v>1103716</v>
      </c>
      <c r="I169" t="str">
        <f>HYPERLINK("https://www.inaturalist.org/taxa/49226-Amelanchier-arborea", "View")</f>
        <v>View</v>
      </c>
      <c r="J169" t="s">
        <v>152</v>
      </c>
      <c r="K169" t="s">
        <v>153</v>
      </c>
      <c r="L169">
        <v>49226</v>
      </c>
      <c r="M169">
        <v>9.11</v>
      </c>
      <c r="N169">
        <v>76.89</v>
      </c>
      <c r="O169">
        <v>0</v>
      </c>
      <c r="P169" t="s">
        <v>32</v>
      </c>
      <c r="Q169" t="s">
        <v>91</v>
      </c>
      <c r="R169">
        <v>86.69</v>
      </c>
      <c r="S169">
        <v>21.54</v>
      </c>
      <c r="T169" t="s">
        <v>27</v>
      </c>
      <c r="U169" t="s">
        <v>27</v>
      </c>
      <c r="V169" t="s">
        <v>29</v>
      </c>
      <c r="W169" t="s">
        <v>241</v>
      </c>
    </row>
    <row r="170" spans="1:23" x14ac:dyDescent="0.3">
      <c r="A170">
        <v>126</v>
      </c>
      <c r="B170" t="str">
        <f>HYPERLINK("https://imapinvasives.natureserve.org/imap/services/page/Presence/1412223.html", "View")</f>
        <v>View</v>
      </c>
      <c r="C170">
        <v>1412223</v>
      </c>
      <c r="D170">
        <v>1424919</v>
      </c>
      <c r="E170" t="str">
        <f>HYPERLINK("http://imap3images.s3-website-us-east-1.amazonaws.com/1424919/p/imap_app_photo_1718889135423.jpg", "View")</f>
        <v>View</v>
      </c>
      <c r="F170" t="s">
        <v>144</v>
      </c>
      <c r="G170" t="s">
        <v>145</v>
      </c>
      <c r="H170">
        <v>1103716</v>
      </c>
      <c r="I170" t="str">
        <f>HYPERLINK("https://www.inaturalist.org/taxa/1103716-Litylenchus-crenatae", "View")</f>
        <v>View</v>
      </c>
      <c r="J170" t="s">
        <v>146</v>
      </c>
      <c r="K170" t="s">
        <v>147</v>
      </c>
      <c r="L170">
        <v>1103716</v>
      </c>
      <c r="M170">
        <v>29.94</v>
      </c>
      <c r="N170">
        <v>47.95</v>
      </c>
      <c r="O170">
        <v>1</v>
      </c>
      <c r="P170" t="s">
        <v>25</v>
      </c>
      <c r="Q170" t="s">
        <v>91</v>
      </c>
      <c r="R170">
        <v>86.69</v>
      </c>
      <c r="S170">
        <v>21.54</v>
      </c>
      <c r="T170" t="s">
        <v>27</v>
      </c>
      <c r="U170" t="s">
        <v>28</v>
      </c>
      <c r="V170" t="s">
        <v>29</v>
      </c>
      <c r="W170" t="s">
        <v>241</v>
      </c>
    </row>
    <row r="171" spans="1:23" x14ac:dyDescent="0.3">
      <c r="A171">
        <v>127</v>
      </c>
      <c r="B171" t="str">
        <f>HYPERLINK("https://imapinvasives.natureserve.org/imap/services/page/Presence/1298378.html", "View")</f>
        <v>View</v>
      </c>
      <c r="C171">
        <v>1298378</v>
      </c>
      <c r="D171">
        <v>1308651</v>
      </c>
      <c r="E171" t="str">
        <f>HYPERLINK("http://imap3images.s3-website-us-east-1.amazonaws.com/1308651/p/BLD_6.jpg", "View")</f>
        <v>View</v>
      </c>
      <c r="F171" t="s">
        <v>144</v>
      </c>
      <c r="G171" t="s">
        <v>145</v>
      </c>
      <c r="H171">
        <v>1103716</v>
      </c>
      <c r="I171" t="str">
        <f>HYPERLINK("https://www.inaturalist.org/taxa/54771-Ostrya-virginiana", "View")</f>
        <v>View</v>
      </c>
      <c r="J171" t="s">
        <v>154</v>
      </c>
      <c r="K171" t="s">
        <v>155</v>
      </c>
      <c r="L171">
        <v>54771</v>
      </c>
      <c r="M171">
        <v>11.97</v>
      </c>
      <c r="N171">
        <v>20.7</v>
      </c>
      <c r="O171">
        <v>0</v>
      </c>
      <c r="P171" t="s">
        <v>32</v>
      </c>
      <c r="Q171" t="s">
        <v>91</v>
      </c>
      <c r="R171">
        <v>86.69</v>
      </c>
      <c r="S171">
        <v>21.54</v>
      </c>
      <c r="T171" t="s">
        <v>27</v>
      </c>
      <c r="U171" t="s">
        <v>27</v>
      </c>
      <c r="V171" t="s">
        <v>29</v>
      </c>
      <c r="W171" t="s">
        <v>242</v>
      </c>
    </row>
    <row r="172" spans="1:23" x14ac:dyDescent="0.3">
      <c r="A172">
        <v>128</v>
      </c>
      <c r="B172" t="str">
        <f>HYPERLINK("https://imapinvasives.natureserve.org/imap/services/page/Presence/1300323.html", "View")</f>
        <v>View</v>
      </c>
      <c r="C172">
        <v>1300323</v>
      </c>
      <c r="D172">
        <v>1310688</v>
      </c>
      <c r="E172" t="str">
        <f>HYPERLINK("http://imap3images.s3-website-us-east-1.amazonaws.com/1310688/p/imap_app_photo_1666278000473.jpg", "View")</f>
        <v>View</v>
      </c>
      <c r="F172" t="s">
        <v>144</v>
      </c>
      <c r="G172" t="s">
        <v>145</v>
      </c>
      <c r="H172">
        <v>1103716</v>
      </c>
      <c r="I172" t="str">
        <f>HYPERLINK("https://www.inaturalist.org/taxa/49202-Fagus-grandifolia", "View")</f>
        <v>View</v>
      </c>
      <c r="J172" t="s">
        <v>148</v>
      </c>
      <c r="K172" t="s">
        <v>149</v>
      </c>
      <c r="L172">
        <v>49202</v>
      </c>
      <c r="M172">
        <v>34.67</v>
      </c>
      <c r="N172">
        <v>98.73</v>
      </c>
      <c r="O172">
        <v>0</v>
      </c>
      <c r="P172" t="s">
        <v>32</v>
      </c>
      <c r="Q172" t="s">
        <v>91</v>
      </c>
      <c r="R172">
        <v>86.69</v>
      </c>
      <c r="S172">
        <v>21.54</v>
      </c>
      <c r="T172" t="s">
        <v>28</v>
      </c>
      <c r="U172" t="s">
        <v>28</v>
      </c>
      <c r="V172" t="s">
        <v>29</v>
      </c>
      <c r="W172" t="s">
        <v>242</v>
      </c>
    </row>
    <row r="173" spans="1:23" x14ac:dyDescent="0.3">
      <c r="A173">
        <v>130</v>
      </c>
      <c r="B173" t="str">
        <f>HYPERLINK("https://imapinvasives.natureserve.org/imap/services/page/Presence/1298229.html", "View")</f>
        <v>View</v>
      </c>
      <c r="C173">
        <v>1298229</v>
      </c>
      <c r="D173">
        <v>1308489</v>
      </c>
      <c r="E173" t="str">
        <f>HYPERLINK("http://imap3images.s3-website-us-east-1.amazonaws.com/1308489/p/imap_app_photo_1664563461763.jpg", "View")</f>
        <v>View</v>
      </c>
      <c r="F173" t="s">
        <v>144</v>
      </c>
      <c r="G173" t="s">
        <v>145</v>
      </c>
      <c r="H173">
        <v>1103716</v>
      </c>
      <c r="I173" t="str">
        <f>HYPERLINK("https://www.inaturalist.org/taxa/49202-Fagus-grandifolia", "View")</f>
        <v>View</v>
      </c>
      <c r="J173" t="s">
        <v>148</v>
      </c>
      <c r="K173" t="s">
        <v>149</v>
      </c>
      <c r="L173">
        <v>49202</v>
      </c>
      <c r="M173">
        <v>36.68</v>
      </c>
      <c r="N173">
        <v>69.66</v>
      </c>
      <c r="O173">
        <v>0</v>
      </c>
      <c r="P173" t="s">
        <v>32</v>
      </c>
      <c r="Q173" t="s">
        <v>91</v>
      </c>
      <c r="R173">
        <v>86.69</v>
      </c>
      <c r="S173">
        <v>21.54</v>
      </c>
      <c r="T173" t="s">
        <v>27</v>
      </c>
      <c r="U173" t="s">
        <v>28</v>
      </c>
      <c r="V173" t="s">
        <v>29</v>
      </c>
      <c r="W173" t="s">
        <v>242</v>
      </c>
    </row>
    <row r="174" spans="1:23" x14ac:dyDescent="0.3">
      <c r="A174">
        <v>131</v>
      </c>
      <c r="B174" t="str">
        <f>HYPERLINK("https://imapinvasives.natureserve.org/imap/services/page/Presence/1352829.html", "View")</f>
        <v>View</v>
      </c>
      <c r="C174">
        <v>1352829</v>
      </c>
      <c r="D174">
        <v>1370228</v>
      </c>
      <c r="E174" t="str">
        <f>HYPERLINK("http://imap3images.s3-website-us-east-1.amazonaws.com/1370228/p/imap_app_photo_1694430454787.jpg", "View")</f>
        <v>View</v>
      </c>
      <c r="F174" t="s">
        <v>144</v>
      </c>
      <c r="G174" t="s">
        <v>145</v>
      </c>
      <c r="H174">
        <v>1103716</v>
      </c>
      <c r="I174" t="str">
        <f>HYPERLINK("https://www.inaturalist.org/taxa/49202-Fagus-grandifolia", "View")</f>
        <v>View</v>
      </c>
      <c r="J174" t="s">
        <v>148</v>
      </c>
      <c r="K174" t="s">
        <v>149</v>
      </c>
      <c r="L174">
        <v>49202</v>
      </c>
      <c r="M174">
        <v>43.79</v>
      </c>
      <c r="N174">
        <v>85.42</v>
      </c>
      <c r="O174">
        <v>0</v>
      </c>
      <c r="P174" t="s">
        <v>32</v>
      </c>
      <c r="Q174" t="s">
        <v>91</v>
      </c>
      <c r="R174">
        <v>86.69</v>
      </c>
      <c r="S174">
        <v>21.54</v>
      </c>
      <c r="T174" t="s">
        <v>27</v>
      </c>
      <c r="U174" t="s">
        <v>28</v>
      </c>
      <c r="V174" t="s">
        <v>29</v>
      </c>
      <c r="W174" t="s">
        <v>242</v>
      </c>
    </row>
    <row r="175" spans="1:23" x14ac:dyDescent="0.3">
      <c r="A175">
        <v>132</v>
      </c>
      <c r="B175" t="str">
        <f>HYPERLINK("https://imapinvasives.natureserve.org/imap/services/page/Presence/1412074.html", "View")</f>
        <v>View</v>
      </c>
      <c r="C175">
        <v>1412074</v>
      </c>
      <c r="D175">
        <v>1424770</v>
      </c>
      <c r="E175" t="str">
        <f>HYPERLINK("http://imap3images.s3-website-us-east-1.amazonaws.com/1424770/p/imap_app_photo_1718736102981.jpg", "View")</f>
        <v>View</v>
      </c>
      <c r="F175" t="s">
        <v>144</v>
      </c>
      <c r="G175" t="s">
        <v>145</v>
      </c>
      <c r="H175">
        <v>1103716</v>
      </c>
      <c r="I175" t="str">
        <f>HYPERLINK("https://www.inaturalist.org/taxa/49202-Fagus-grandifolia", "View")</f>
        <v>View</v>
      </c>
      <c r="J175" t="s">
        <v>148</v>
      </c>
      <c r="K175" t="s">
        <v>149</v>
      </c>
      <c r="L175">
        <v>49202</v>
      </c>
      <c r="M175">
        <v>76.38</v>
      </c>
      <c r="N175">
        <v>40.950000000000003</v>
      </c>
      <c r="O175">
        <v>0</v>
      </c>
      <c r="P175" t="s">
        <v>32</v>
      </c>
      <c r="Q175" t="s">
        <v>91</v>
      </c>
      <c r="R175">
        <v>86.69</v>
      </c>
      <c r="S175">
        <v>21.54</v>
      </c>
      <c r="T175" t="s">
        <v>27</v>
      </c>
      <c r="U175" t="s">
        <v>28</v>
      </c>
      <c r="V175" t="s">
        <v>29</v>
      </c>
      <c r="W175" t="s">
        <v>242</v>
      </c>
    </row>
    <row r="176" spans="1:23" x14ac:dyDescent="0.3">
      <c r="A176">
        <v>133</v>
      </c>
      <c r="B176" t="str">
        <f>HYPERLINK("https://imapinvasives.natureserve.org/imap/services/page/Presence/1443052.html", "View")</f>
        <v>View</v>
      </c>
      <c r="C176">
        <v>1443052</v>
      </c>
      <c r="D176">
        <v>1457669</v>
      </c>
      <c r="E176" t="str">
        <f>HYPERLINK("http://imap3images.s3-website-us-east-1.amazonaws.com/1457669/p/imap_app_photo_1724951208728.jpg", "View")</f>
        <v>View</v>
      </c>
      <c r="F176" t="s">
        <v>144</v>
      </c>
      <c r="G176" t="s">
        <v>145</v>
      </c>
      <c r="H176">
        <v>1103716</v>
      </c>
      <c r="I176" t="str">
        <f>HYPERLINK("https://www.inaturalist.org/taxa/54227-Fagus-sylvatica", "View")</f>
        <v>View</v>
      </c>
      <c r="J176" t="s">
        <v>156</v>
      </c>
      <c r="K176" t="s">
        <v>157</v>
      </c>
      <c r="L176">
        <v>54227</v>
      </c>
      <c r="M176">
        <v>9.82</v>
      </c>
      <c r="N176">
        <v>55.56</v>
      </c>
      <c r="O176">
        <v>0</v>
      </c>
      <c r="P176" t="s">
        <v>32</v>
      </c>
      <c r="Q176" t="s">
        <v>91</v>
      </c>
      <c r="R176">
        <v>86.69</v>
      </c>
      <c r="S176">
        <v>21.54</v>
      </c>
      <c r="T176" t="s">
        <v>27</v>
      </c>
      <c r="U176" t="s">
        <v>27</v>
      </c>
      <c r="V176" t="s">
        <v>29</v>
      </c>
      <c r="W176" t="s">
        <v>242</v>
      </c>
    </row>
    <row r="177" spans="1:23" x14ac:dyDescent="0.3">
      <c r="A177">
        <v>134</v>
      </c>
      <c r="B177" t="str">
        <f>HYPERLINK("https://imapinvasives.natureserve.org/imap/services/page/Presence/1441361.html", "View")</f>
        <v>View</v>
      </c>
      <c r="C177">
        <v>1441361</v>
      </c>
      <c r="D177">
        <v>1455819</v>
      </c>
      <c r="E177" t="str">
        <f>HYPERLINK("http://imap3images.s3-website-us-east-1.amazonaws.com/1455819/p/imap_app_photo_1723933912006.jpg", "View")</f>
        <v>View</v>
      </c>
      <c r="F177" t="s">
        <v>144</v>
      </c>
      <c r="G177" t="s">
        <v>145</v>
      </c>
      <c r="H177">
        <v>1103716</v>
      </c>
      <c r="I177" t="str">
        <f>HYPERLINK("https://www.inaturalist.org/taxa/1103716-Litylenchus-crenatae", "View")</f>
        <v>View</v>
      </c>
      <c r="J177" t="s">
        <v>146</v>
      </c>
      <c r="K177" t="s">
        <v>147</v>
      </c>
      <c r="L177">
        <v>1103716</v>
      </c>
      <c r="M177">
        <v>39.07</v>
      </c>
      <c r="N177">
        <v>11.94</v>
      </c>
      <c r="O177">
        <v>1</v>
      </c>
      <c r="P177" t="s">
        <v>25</v>
      </c>
      <c r="Q177" t="s">
        <v>91</v>
      </c>
      <c r="R177">
        <v>86.69</v>
      </c>
      <c r="S177">
        <v>21.54</v>
      </c>
      <c r="T177" t="s">
        <v>27</v>
      </c>
      <c r="U177" t="s">
        <v>28</v>
      </c>
      <c r="V177" t="s">
        <v>29</v>
      </c>
      <c r="W177" t="s">
        <v>242</v>
      </c>
    </row>
    <row r="178" spans="1:23" x14ac:dyDescent="0.3">
      <c r="A178">
        <v>135</v>
      </c>
      <c r="B178" t="str">
        <f>HYPERLINK("https://imapinvasives.natureserve.org/imap/services/page/Presence/1343435.html", "View")</f>
        <v>View</v>
      </c>
      <c r="C178">
        <v>1343435</v>
      </c>
      <c r="D178">
        <v>1358989</v>
      </c>
      <c r="E178" t="str">
        <f>HYPERLINK("http://imap3images.s3-website-us-east-1.amazonaws.com/1358989/p/imap_app_photo_1690806197645.jpg", "View")</f>
        <v>View</v>
      </c>
      <c r="F178" t="s">
        <v>144</v>
      </c>
      <c r="G178" t="s">
        <v>145</v>
      </c>
      <c r="H178">
        <v>1103716</v>
      </c>
      <c r="I178" t="str">
        <f>HYPERLINK("https://www.inaturalist.org/taxa/49202-Fagus-grandifolia", "View")</f>
        <v>View</v>
      </c>
      <c r="J178" t="s">
        <v>148</v>
      </c>
      <c r="K178" t="s">
        <v>149</v>
      </c>
      <c r="L178">
        <v>49202</v>
      </c>
      <c r="M178">
        <v>36.68</v>
      </c>
      <c r="N178">
        <v>55.92</v>
      </c>
      <c r="O178">
        <v>0</v>
      </c>
      <c r="P178" t="s">
        <v>32</v>
      </c>
      <c r="Q178" t="s">
        <v>91</v>
      </c>
      <c r="R178">
        <v>86.69</v>
      </c>
      <c r="S178">
        <v>21.54</v>
      </c>
      <c r="T178" t="s">
        <v>27</v>
      </c>
      <c r="U178" t="s">
        <v>28</v>
      </c>
      <c r="V178" t="s">
        <v>29</v>
      </c>
      <c r="W178" t="s">
        <v>242</v>
      </c>
    </row>
    <row r="179" spans="1:23" x14ac:dyDescent="0.3">
      <c r="A179">
        <v>136</v>
      </c>
      <c r="B179" t="str">
        <f>HYPERLINK("https://imapinvasives.natureserve.org/imap/services/page/Presence/1280144.html", "View")</f>
        <v>View</v>
      </c>
      <c r="C179">
        <v>1280144</v>
      </c>
      <c r="D179">
        <v>1289532</v>
      </c>
      <c r="E179" t="str">
        <f>HYPERLINK("http://imap3images.s3-website-us-east-1.amazonaws.com/1289532/p/imap_app_photo_1656428717286.jpg", "View")</f>
        <v>View</v>
      </c>
      <c r="F179" t="s">
        <v>144</v>
      </c>
      <c r="G179" t="s">
        <v>145</v>
      </c>
      <c r="H179">
        <v>1103716</v>
      </c>
      <c r="I179" t="str">
        <f>HYPERLINK("https://www.inaturalist.org/taxa/496170-Acalitus-ferrugineum", "View")</f>
        <v>View</v>
      </c>
      <c r="J179" t="s">
        <v>158</v>
      </c>
      <c r="K179" t="s">
        <v>159</v>
      </c>
      <c r="L179">
        <v>496170</v>
      </c>
      <c r="M179">
        <v>15.35</v>
      </c>
      <c r="N179">
        <v>98.31</v>
      </c>
      <c r="O179">
        <v>0</v>
      </c>
      <c r="P179" t="s">
        <v>32</v>
      </c>
      <c r="Q179" t="s">
        <v>91</v>
      </c>
      <c r="R179">
        <v>86.69</v>
      </c>
      <c r="S179">
        <v>21.54</v>
      </c>
      <c r="T179" t="s">
        <v>28</v>
      </c>
      <c r="U179" t="s">
        <v>27</v>
      </c>
      <c r="V179" t="s">
        <v>29</v>
      </c>
      <c r="W179" t="s">
        <v>242</v>
      </c>
    </row>
    <row r="180" spans="1:23" x14ac:dyDescent="0.3">
      <c r="A180">
        <v>137</v>
      </c>
      <c r="B180" t="str">
        <f>HYPERLINK("https://imapinvasives.natureserve.org/imap/services/page/Presence/1349127.html", "View")</f>
        <v>View</v>
      </c>
      <c r="C180">
        <v>1349127</v>
      </c>
      <c r="D180">
        <v>1366044</v>
      </c>
      <c r="E180" t="str">
        <f>HYPERLINK("http://imap3images.s3-website-us-east-1.amazonaws.com/1366044/p/imap_app_photo_1692673967486.jpg", "View")</f>
        <v>View</v>
      </c>
      <c r="F180" t="s">
        <v>144</v>
      </c>
      <c r="G180" t="s">
        <v>145</v>
      </c>
      <c r="H180">
        <v>1103716</v>
      </c>
      <c r="I180" t="str">
        <f>HYPERLINK("https://www.inaturalist.org/taxa/1103716-Litylenchus-crenatae", "View")</f>
        <v>View</v>
      </c>
      <c r="J180" t="s">
        <v>146</v>
      </c>
      <c r="K180" t="s">
        <v>147</v>
      </c>
      <c r="L180">
        <v>1103716</v>
      </c>
      <c r="M180">
        <v>22.47</v>
      </c>
      <c r="N180">
        <v>79.36</v>
      </c>
      <c r="O180">
        <v>1</v>
      </c>
      <c r="P180" t="s">
        <v>25</v>
      </c>
      <c r="Q180" t="s">
        <v>91</v>
      </c>
      <c r="R180">
        <v>86.69</v>
      </c>
      <c r="S180">
        <v>21.54</v>
      </c>
      <c r="T180" t="s">
        <v>27</v>
      </c>
      <c r="U180" t="s">
        <v>28</v>
      </c>
      <c r="V180" t="s">
        <v>29</v>
      </c>
      <c r="W180" t="s">
        <v>241</v>
      </c>
    </row>
    <row r="181" spans="1:23" x14ac:dyDescent="0.3">
      <c r="A181">
        <v>138</v>
      </c>
      <c r="B181" t="str">
        <f>HYPERLINK("https://imapinvasives.natureserve.org/imap/services/page/Presence/1438829.html", "View")</f>
        <v>View</v>
      </c>
      <c r="C181">
        <v>1438829</v>
      </c>
      <c r="D181">
        <v>1453098</v>
      </c>
      <c r="E181" t="str">
        <f>HYPERLINK("http://imap3images.s3-website-us-east-1.amazonaws.com/1453098/p/imap_app_photo_1722974908549.jpg", "View")</f>
        <v>View</v>
      </c>
      <c r="F181" t="s">
        <v>144</v>
      </c>
      <c r="G181" t="s">
        <v>145</v>
      </c>
      <c r="H181">
        <v>1103716</v>
      </c>
      <c r="I181" t="str">
        <f>HYPERLINK("https://www.inaturalist.org/taxa/1103716-Litylenchus-crenatae", "View")</f>
        <v>View</v>
      </c>
      <c r="J181" t="s">
        <v>146</v>
      </c>
      <c r="K181" t="s">
        <v>147</v>
      </c>
      <c r="L181">
        <v>1103716</v>
      </c>
      <c r="M181">
        <v>43.34</v>
      </c>
      <c r="N181">
        <v>47.24</v>
      </c>
      <c r="O181">
        <v>1</v>
      </c>
      <c r="P181" t="s">
        <v>25</v>
      </c>
      <c r="Q181" t="s">
        <v>91</v>
      </c>
      <c r="R181">
        <v>86.69</v>
      </c>
      <c r="S181">
        <v>21.54</v>
      </c>
      <c r="T181" t="s">
        <v>27</v>
      </c>
      <c r="U181" t="s">
        <v>28</v>
      </c>
      <c r="V181" t="s">
        <v>29</v>
      </c>
      <c r="W181" t="s">
        <v>242</v>
      </c>
    </row>
    <row r="182" spans="1:23" x14ac:dyDescent="0.3">
      <c r="A182">
        <v>139</v>
      </c>
      <c r="B182" t="str">
        <f>HYPERLINK("https://imapinvasives.natureserve.org/imap/services/page/Presence/1361494.html", "View")</f>
        <v>View</v>
      </c>
      <c r="C182">
        <v>1361494</v>
      </c>
      <c r="D182">
        <v>1379137</v>
      </c>
      <c r="E182" t="str">
        <f>HYPERLINK("http://imap3images.s3-website-us-east-1.amazonaws.com/1379137/p/imap_app_photo_1697808643896.jpg", "View")</f>
        <v>View</v>
      </c>
      <c r="F182" t="s">
        <v>144</v>
      </c>
      <c r="G182" t="s">
        <v>145</v>
      </c>
      <c r="H182">
        <v>1103716</v>
      </c>
      <c r="I182" t="str">
        <f>HYPERLINK("https://www.inaturalist.org/taxa/1103716-Litylenchus-crenatae", "View")</f>
        <v>View</v>
      </c>
      <c r="J182" t="s">
        <v>146</v>
      </c>
      <c r="K182" t="s">
        <v>147</v>
      </c>
      <c r="L182">
        <v>1103716</v>
      </c>
      <c r="M182">
        <v>2.5499999999999998</v>
      </c>
      <c r="N182">
        <v>69.709999999999994</v>
      </c>
      <c r="O182">
        <v>1</v>
      </c>
      <c r="P182" t="s">
        <v>25</v>
      </c>
      <c r="Q182" t="s">
        <v>91</v>
      </c>
      <c r="R182">
        <v>86.69</v>
      </c>
      <c r="S182">
        <v>21.54</v>
      </c>
      <c r="T182" t="s">
        <v>27</v>
      </c>
      <c r="U182" t="s">
        <v>27</v>
      </c>
      <c r="V182" t="s">
        <v>29</v>
      </c>
      <c r="W182" t="s">
        <v>241</v>
      </c>
    </row>
    <row r="183" spans="1:23" x14ac:dyDescent="0.3">
      <c r="A183">
        <v>140</v>
      </c>
      <c r="B183" t="str">
        <f>HYPERLINK("https://imapinvasives.natureserve.org/imap/services/page/Presence/1288303.html", "View")</f>
        <v>View</v>
      </c>
      <c r="C183">
        <v>1288303</v>
      </c>
      <c r="D183">
        <v>1298254</v>
      </c>
      <c r="E183" t="str">
        <f>HYPERLINK("http://imap3images.s3-website-us-east-1.amazonaws.com/1298254/p/imap_app_photo_1661038914562.jpg", "View")</f>
        <v>View</v>
      </c>
      <c r="F183" t="s">
        <v>144</v>
      </c>
      <c r="G183" t="s">
        <v>145</v>
      </c>
      <c r="H183">
        <v>1103716</v>
      </c>
      <c r="I183" t="str">
        <f>HYPERLINK("https://www.inaturalist.org/taxa/1103716-Litylenchus-crenatae", "View")</f>
        <v>View</v>
      </c>
      <c r="J183" t="s">
        <v>146</v>
      </c>
      <c r="K183" t="s">
        <v>147</v>
      </c>
      <c r="L183">
        <v>1103716</v>
      </c>
      <c r="M183">
        <v>43.35</v>
      </c>
      <c r="N183">
        <v>80.81</v>
      </c>
      <c r="O183">
        <v>1</v>
      </c>
      <c r="P183" t="s">
        <v>25</v>
      </c>
      <c r="Q183" t="s">
        <v>91</v>
      </c>
      <c r="R183">
        <v>86.69</v>
      </c>
      <c r="S183">
        <v>21.54</v>
      </c>
      <c r="T183" t="s">
        <v>27</v>
      </c>
      <c r="U183" t="s">
        <v>28</v>
      </c>
      <c r="V183" t="s">
        <v>29</v>
      </c>
      <c r="W183" t="s">
        <v>242</v>
      </c>
    </row>
    <row r="184" spans="1:23" x14ac:dyDescent="0.3">
      <c r="A184">
        <v>141</v>
      </c>
      <c r="B184" t="str">
        <f>HYPERLINK("https://imapinvasives.natureserve.org/imap/services/page/Presence/1444135.html", "View")</f>
        <v>View</v>
      </c>
      <c r="C184">
        <v>1444135</v>
      </c>
      <c r="D184">
        <v>1458790</v>
      </c>
      <c r="E184" t="str">
        <f>HYPERLINK("http://imap3images.s3-website-us-east-1.amazonaws.com/1458790/p/imap_app_photo_1725560175795.jpg", "View")</f>
        <v>View</v>
      </c>
      <c r="F184" t="s">
        <v>144</v>
      </c>
      <c r="G184" t="s">
        <v>145</v>
      </c>
      <c r="H184">
        <v>1103716</v>
      </c>
      <c r="I184" t="str">
        <f>HYPERLINK("https://www.inaturalist.org/taxa/1103716-Litylenchus-crenatae", "View")</f>
        <v>View</v>
      </c>
      <c r="J184" t="s">
        <v>146</v>
      </c>
      <c r="K184" t="s">
        <v>147</v>
      </c>
      <c r="L184">
        <v>1103716</v>
      </c>
      <c r="M184">
        <v>43.34</v>
      </c>
      <c r="N184">
        <v>42.17</v>
      </c>
      <c r="O184">
        <v>1</v>
      </c>
      <c r="P184" t="s">
        <v>25</v>
      </c>
      <c r="Q184" t="s">
        <v>91</v>
      </c>
      <c r="R184">
        <v>86.69</v>
      </c>
      <c r="S184">
        <v>21.54</v>
      </c>
      <c r="T184" t="s">
        <v>27</v>
      </c>
      <c r="U184" t="s">
        <v>28</v>
      </c>
      <c r="V184" t="s">
        <v>29</v>
      </c>
      <c r="W184" t="s">
        <v>242</v>
      </c>
    </row>
    <row r="185" spans="1:23" x14ac:dyDescent="0.3">
      <c r="A185">
        <v>142</v>
      </c>
      <c r="B185" t="str">
        <f>HYPERLINK("https://imapinvasives.natureserve.org/imap/services/page/Presence/1440305.html", "View")</f>
        <v>View</v>
      </c>
      <c r="C185">
        <v>1440305</v>
      </c>
      <c r="D185">
        <v>1454760</v>
      </c>
      <c r="E185" t="str">
        <f>HYPERLINK("http://imap3images.s3-website-us-east-1.amazonaws.com/1454760/p/imap_app_photo_1723738722014.jpg", "View")</f>
        <v>View</v>
      </c>
      <c r="F185" t="s">
        <v>144</v>
      </c>
      <c r="G185" t="s">
        <v>145</v>
      </c>
      <c r="H185">
        <v>1103716</v>
      </c>
      <c r="I185" t="str">
        <f>HYPERLINK("https://www.inaturalist.org/taxa/49202-Fagus-grandifolia", "View")</f>
        <v>View</v>
      </c>
      <c r="J185" t="s">
        <v>148</v>
      </c>
      <c r="K185" t="s">
        <v>149</v>
      </c>
      <c r="L185">
        <v>49202</v>
      </c>
      <c r="M185">
        <v>36.090000000000003</v>
      </c>
      <c r="N185">
        <v>73.930000000000007</v>
      </c>
      <c r="O185">
        <v>0</v>
      </c>
      <c r="P185" t="s">
        <v>32</v>
      </c>
      <c r="Q185" t="s">
        <v>91</v>
      </c>
      <c r="R185">
        <v>86.69</v>
      </c>
      <c r="S185">
        <v>21.54</v>
      </c>
      <c r="T185" t="s">
        <v>27</v>
      </c>
      <c r="U185" t="s">
        <v>28</v>
      </c>
      <c r="V185" t="s">
        <v>29</v>
      </c>
      <c r="W185" t="s">
        <v>242</v>
      </c>
    </row>
    <row r="186" spans="1:23" x14ac:dyDescent="0.3">
      <c r="A186">
        <v>143</v>
      </c>
      <c r="B186" t="str">
        <f>HYPERLINK("https://imapinvasives.natureserve.org/imap/services/page/Presence/1442154.html", "View")</f>
        <v>View</v>
      </c>
      <c r="C186">
        <v>1442154</v>
      </c>
      <c r="D186">
        <v>1456688</v>
      </c>
      <c r="E186" t="str">
        <f>HYPERLINK("http://imap3images.s3-website-us-east-1.amazonaws.com/1456688/p/imap_app_photo_1724380166974.jpg", "View")</f>
        <v>View</v>
      </c>
      <c r="F186" t="s">
        <v>144</v>
      </c>
      <c r="G186" t="s">
        <v>145</v>
      </c>
      <c r="H186">
        <v>1103716</v>
      </c>
      <c r="I186" t="str">
        <f>HYPERLINK("https://www.inaturalist.org/taxa/1103716-Litylenchus-crenatae", "View")</f>
        <v>View</v>
      </c>
      <c r="J186" t="s">
        <v>146</v>
      </c>
      <c r="K186" t="s">
        <v>147</v>
      </c>
      <c r="L186">
        <v>1103716</v>
      </c>
      <c r="M186">
        <v>43.34</v>
      </c>
      <c r="N186">
        <v>55.95</v>
      </c>
      <c r="O186">
        <v>1</v>
      </c>
      <c r="P186" t="s">
        <v>25</v>
      </c>
      <c r="Q186" t="s">
        <v>91</v>
      </c>
      <c r="R186">
        <v>86.69</v>
      </c>
      <c r="S186">
        <v>21.54</v>
      </c>
      <c r="T186" t="s">
        <v>27</v>
      </c>
      <c r="U186" t="s">
        <v>28</v>
      </c>
      <c r="V186" t="s">
        <v>29</v>
      </c>
      <c r="W186" t="s">
        <v>242</v>
      </c>
    </row>
    <row r="187" spans="1:23" x14ac:dyDescent="0.3">
      <c r="A187">
        <v>144</v>
      </c>
      <c r="B187" t="str">
        <f>HYPERLINK("https://imapinvasives.natureserve.org/imap/services/page/Presence/1297946.html", "View")</f>
        <v>View</v>
      </c>
      <c r="C187">
        <v>1297946</v>
      </c>
      <c r="D187">
        <v>1308200</v>
      </c>
      <c r="E187" t="str">
        <f>HYPERLINK("http://imap3images.s3-website-us-east-1.amazonaws.com/1308200/p/imap_app_photo_1664400655831.jpg", "View")</f>
        <v>View</v>
      </c>
      <c r="F187" t="s">
        <v>144</v>
      </c>
      <c r="G187" t="s">
        <v>145</v>
      </c>
      <c r="H187">
        <v>1103716</v>
      </c>
      <c r="I187" t="str">
        <f>HYPERLINK("https://www.inaturalist.org/taxa/49202-Fagus-grandifolia", "View")</f>
        <v>View</v>
      </c>
      <c r="J187" t="s">
        <v>148</v>
      </c>
      <c r="K187" t="s">
        <v>149</v>
      </c>
      <c r="L187">
        <v>49202</v>
      </c>
      <c r="M187">
        <v>75.64</v>
      </c>
      <c r="N187">
        <v>54.58</v>
      </c>
      <c r="O187">
        <v>0</v>
      </c>
      <c r="P187" t="s">
        <v>32</v>
      </c>
      <c r="Q187" t="s">
        <v>91</v>
      </c>
      <c r="R187">
        <v>86.69</v>
      </c>
      <c r="S187">
        <v>21.54</v>
      </c>
      <c r="T187" t="s">
        <v>27</v>
      </c>
      <c r="U187" t="s">
        <v>28</v>
      </c>
      <c r="V187" t="s">
        <v>29</v>
      </c>
      <c r="W187" t="s">
        <v>242</v>
      </c>
    </row>
    <row r="188" spans="1:23" x14ac:dyDescent="0.3">
      <c r="A188">
        <v>145</v>
      </c>
      <c r="B188" t="str">
        <f>HYPERLINK("https://imapinvasives.natureserve.org/imap/services/page/Presence/1272144.html", "View")</f>
        <v>View</v>
      </c>
      <c r="C188">
        <v>1272144</v>
      </c>
      <c r="D188">
        <v>1281167</v>
      </c>
      <c r="E188" t="str">
        <f>HYPERLINK("http://imap3images.s3-website-us-east-1.amazonaws.com/1281167/p/imap_app_photo_1652882301361.jpg", "View")</f>
        <v>View</v>
      </c>
      <c r="F188" t="s">
        <v>144</v>
      </c>
      <c r="G188" t="s">
        <v>145</v>
      </c>
      <c r="H188">
        <v>1103716</v>
      </c>
      <c r="I188" t="str">
        <f>HYPERLINK("https://www.inaturalist.org/taxa/54227-Fagus-sylvatica", "View")</f>
        <v>View</v>
      </c>
      <c r="J188" t="s">
        <v>156</v>
      </c>
      <c r="K188" t="s">
        <v>157</v>
      </c>
      <c r="L188">
        <v>54227</v>
      </c>
      <c r="M188">
        <v>39.6</v>
      </c>
      <c r="N188">
        <v>54.88</v>
      </c>
      <c r="O188">
        <v>0</v>
      </c>
      <c r="P188" t="s">
        <v>32</v>
      </c>
      <c r="Q188" t="s">
        <v>91</v>
      </c>
      <c r="R188">
        <v>86.69</v>
      </c>
      <c r="S188">
        <v>21.54</v>
      </c>
      <c r="T188" t="s">
        <v>27</v>
      </c>
      <c r="U188" t="s">
        <v>28</v>
      </c>
      <c r="V188" t="s">
        <v>29</v>
      </c>
      <c r="W188" t="s">
        <v>242</v>
      </c>
    </row>
    <row r="189" spans="1:23" x14ac:dyDescent="0.3">
      <c r="A189">
        <v>146</v>
      </c>
      <c r="B189" t="str">
        <f>HYPERLINK("https://imapinvasives.natureserve.org/imap/services/page/Presence/1288298.html", "View")</f>
        <v>View</v>
      </c>
      <c r="C189">
        <v>1288298</v>
      </c>
      <c r="D189">
        <v>1298249</v>
      </c>
      <c r="E189" t="str">
        <f>HYPERLINK("http://imap3images.s3-website-us-east-1.amazonaws.com/1298249/p/imap_app_photo_1661038739202.jpg", "View")</f>
        <v>View</v>
      </c>
      <c r="F189" t="s">
        <v>144</v>
      </c>
      <c r="G189" t="s">
        <v>145</v>
      </c>
      <c r="H189">
        <v>1103716</v>
      </c>
      <c r="I189" t="str">
        <f>HYPERLINK("https://www.inaturalist.org/taxa/1103716-Litylenchus-crenatae", "View")</f>
        <v>View</v>
      </c>
      <c r="J189" t="s">
        <v>146</v>
      </c>
      <c r="K189" t="s">
        <v>147</v>
      </c>
      <c r="L189">
        <v>1103716</v>
      </c>
      <c r="M189">
        <v>43.35</v>
      </c>
      <c r="N189">
        <v>63.83</v>
      </c>
      <c r="O189">
        <v>1</v>
      </c>
      <c r="P189" t="s">
        <v>25</v>
      </c>
      <c r="Q189" t="s">
        <v>91</v>
      </c>
      <c r="R189">
        <v>86.69</v>
      </c>
      <c r="S189">
        <v>21.54</v>
      </c>
      <c r="T189" t="s">
        <v>27</v>
      </c>
      <c r="U189" t="s">
        <v>28</v>
      </c>
      <c r="V189" t="s">
        <v>29</v>
      </c>
      <c r="W189" t="s">
        <v>241</v>
      </c>
    </row>
    <row r="190" spans="1:23" x14ac:dyDescent="0.3">
      <c r="A190">
        <v>147</v>
      </c>
      <c r="B190" t="str">
        <f>HYPERLINK("https://imapinvasives.natureserve.org/imap/services/page/Presence/1285440.html", "View")</f>
        <v>View</v>
      </c>
      <c r="C190">
        <v>1285440</v>
      </c>
      <c r="D190">
        <v>1295076</v>
      </c>
      <c r="E190" t="str">
        <f>HYPERLINK("http://imap3images.s3-website-us-east-1.amazonaws.com/1295076/p/imap_app_photo_1659873075801.jpg", "View")</f>
        <v>View</v>
      </c>
      <c r="F190" t="s">
        <v>144</v>
      </c>
      <c r="G190" t="s">
        <v>145</v>
      </c>
      <c r="H190">
        <v>1103716</v>
      </c>
      <c r="I190" t="str">
        <f>HYPERLINK("https://www.inaturalist.org/taxa/49202-Fagus-grandifolia", "View")</f>
        <v>View</v>
      </c>
      <c r="J190" t="s">
        <v>148</v>
      </c>
      <c r="K190" t="s">
        <v>149</v>
      </c>
      <c r="L190">
        <v>49202</v>
      </c>
      <c r="M190">
        <v>75.64</v>
      </c>
      <c r="N190">
        <v>58.25</v>
      </c>
      <c r="O190">
        <v>0</v>
      </c>
      <c r="P190" t="s">
        <v>32</v>
      </c>
      <c r="Q190" t="s">
        <v>91</v>
      </c>
      <c r="R190">
        <v>86.69</v>
      </c>
      <c r="S190">
        <v>21.54</v>
      </c>
      <c r="T190" t="s">
        <v>27</v>
      </c>
      <c r="U190" t="s">
        <v>28</v>
      </c>
      <c r="V190" t="s">
        <v>29</v>
      </c>
      <c r="W190" t="s">
        <v>242</v>
      </c>
    </row>
    <row r="191" spans="1:23" x14ac:dyDescent="0.3">
      <c r="A191">
        <v>148</v>
      </c>
      <c r="B191" t="str">
        <f>HYPERLINK("https://imapinvasives.natureserve.org/imap/services/page/Presence/1280142.html", "View")</f>
        <v>View</v>
      </c>
      <c r="C191">
        <v>1280142</v>
      </c>
      <c r="D191">
        <v>1289530</v>
      </c>
      <c r="E191" t="str">
        <f>HYPERLINK("http://imap3images.s3-website-us-east-1.amazonaws.com/1289530/p/imap_app_photo_1656428679215.jpg", "View")</f>
        <v>View</v>
      </c>
      <c r="F191" t="s">
        <v>144</v>
      </c>
      <c r="G191" t="s">
        <v>145</v>
      </c>
      <c r="H191">
        <v>1103716</v>
      </c>
      <c r="I191" t="str">
        <f>HYPERLINK("https://www.inaturalist.org/taxa/49202-Fagus-grandifolia", "View")</f>
        <v>View</v>
      </c>
      <c r="J191" t="s">
        <v>148</v>
      </c>
      <c r="K191" t="s">
        <v>149</v>
      </c>
      <c r="L191">
        <v>49202</v>
      </c>
      <c r="M191">
        <v>75.64</v>
      </c>
      <c r="N191">
        <v>48.12</v>
      </c>
      <c r="O191">
        <v>0</v>
      </c>
      <c r="P191" t="s">
        <v>32</v>
      </c>
      <c r="Q191" t="s">
        <v>91</v>
      </c>
      <c r="R191">
        <v>86.69</v>
      </c>
      <c r="S191">
        <v>21.54</v>
      </c>
      <c r="T191" t="s">
        <v>27</v>
      </c>
      <c r="U191" t="s">
        <v>28</v>
      </c>
      <c r="V191" t="s">
        <v>29</v>
      </c>
      <c r="W191" t="s">
        <v>242</v>
      </c>
    </row>
    <row r="192" spans="1:23" x14ac:dyDescent="0.3">
      <c r="A192">
        <v>149</v>
      </c>
      <c r="B192" t="str">
        <f>HYPERLINK("https://imapinvasives.natureserve.org/imap/services/page/Presence/1438826.html", "View")</f>
        <v>View</v>
      </c>
      <c r="C192">
        <v>1438826</v>
      </c>
      <c r="D192">
        <v>1453095</v>
      </c>
      <c r="E192" t="str">
        <f>HYPERLINK("http://imap3images.s3-website-us-east-1.amazonaws.com/1453095/p/imap_app_photo_1722974894767.jpg", "View")</f>
        <v>View</v>
      </c>
      <c r="F192" t="s">
        <v>144</v>
      </c>
      <c r="G192" t="s">
        <v>145</v>
      </c>
      <c r="H192">
        <v>1103716</v>
      </c>
      <c r="I192" t="str">
        <f>HYPERLINK("https://www.inaturalist.org/taxa/1103716-Litylenchus-crenatae", "View")</f>
        <v>View</v>
      </c>
      <c r="J192" t="s">
        <v>146</v>
      </c>
      <c r="K192" t="s">
        <v>147</v>
      </c>
      <c r="L192">
        <v>1103716</v>
      </c>
      <c r="M192">
        <v>43.34</v>
      </c>
      <c r="N192">
        <v>54.64</v>
      </c>
      <c r="O192">
        <v>1</v>
      </c>
      <c r="P192" t="s">
        <v>25</v>
      </c>
      <c r="Q192" t="s">
        <v>91</v>
      </c>
      <c r="R192">
        <v>86.69</v>
      </c>
      <c r="S192">
        <v>21.54</v>
      </c>
      <c r="T192" t="s">
        <v>27</v>
      </c>
      <c r="U192" t="s">
        <v>28</v>
      </c>
      <c r="V192" t="s">
        <v>29</v>
      </c>
      <c r="W192" t="s">
        <v>241</v>
      </c>
    </row>
    <row r="193" spans="1:23" x14ac:dyDescent="0.3">
      <c r="A193">
        <v>150</v>
      </c>
      <c r="B193" t="str">
        <f>HYPERLINK("https://imapinvasives.natureserve.org/imap/services/page/Presence/1438342.html", "View")</f>
        <v>View</v>
      </c>
      <c r="C193">
        <v>1438342</v>
      </c>
      <c r="D193">
        <v>1452588</v>
      </c>
      <c r="E193" t="str">
        <f>HYPERLINK("http://imap3images.s3-website-us-east-1.amazonaws.com/1452588/p/IMG_4339.jpeg", "View")</f>
        <v>View</v>
      </c>
      <c r="F193" t="s">
        <v>83</v>
      </c>
      <c r="G193" t="s">
        <v>84</v>
      </c>
      <c r="H193">
        <v>61321</v>
      </c>
      <c r="I193" t="str">
        <f>HYPERLINK("https://www.inaturalist.org/taxa/138458-Vicia-tenuifolia", "View")</f>
        <v>View</v>
      </c>
      <c r="J193" t="s">
        <v>160</v>
      </c>
      <c r="K193" t="s">
        <v>161</v>
      </c>
      <c r="L193">
        <v>138458</v>
      </c>
      <c r="M193">
        <v>0.02</v>
      </c>
      <c r="N193">
        <v>14.31</v>
      </c>
      <c r="O193">
        <v>0</v>
      </c>
      <c r="P193" t="s">
        <v>32</v>
      </c>
      <c r="Q193" t="s">
        <v>48</v>
      </c>
      <c r="R193">
        <v>89.08</v>
      </c>
      <c r="S193">
        <v>38.21</v>
      </c>
      <c r="T193" t="s">
        <v>27</v>
      </c>
      <c r="U193" t="s">
        <v>27</v>
      </c>
      <c r="V193" t="s">
        <v>29</v>
      </c>
      <c r="W193" t="s">
        <v>242</v>
      </c>
    </row>
    <row r="194" spans="1:23" x14ac:dyDescent="0.3">
      <c r="A194">
        <v>151</v>
      </c>
      <c r="B194" t="str">
        <f>HYPERLINK("https://imapinvasives.natureserve.org/imap/services/page/Presence/1163983.html", "View")</f>
        <v>View</v>
      </c>
      <c r="C194">
        <v>1163983</v>
      </c>
      <c r="D194">
        <v>1171213</v>
      </c>
      <c r="E194" t="str">
        <f>HYPERLINK("http://imap3images.s3-website-us-east-1.amazonaws.com/1171213/p/imap_app_photo_1631907466392.jpg", "View")</f>
        <v>View</v>
      </c>
      <c r="F194" t="s">
        <v>83</v>
      </c>
      <c r="G194" t="s">
        <v>84</v>
      </c>
      <c r="H194">
        <v>61321</v>
      </c>
      <c r="I194" t="str">
        <f>HYPERLINK("https://www.inaturalist.org/taxa/48685-Typha-latifolia", "View")</f>
        <v>View</v>
      </c>
      <c r="J194" t="s">
        <v>162</v>
      </c>
      <c r="K194" t="s">
        <v>163</v>
      </c>
      <c r="L194">
        <v>48685</v>
      </c>
      <c r="M194">
        <v>22.1</v>
      </c>
      <c r="N194">
        <v>58.5</v>
      </c>
      <c r="O194">
        <v>0</v>
      </c>
      <c r="P194" t="s">
        <v>32</v>
      </c>
      <c r="Q194" t="s">
        <v>48</v>
      </c>
      <c r="R194">
        <v>89.08</v>
      </c>
      <c r="S194">
        <v>38.21</v>
      </c>
      <c r="T194" t="s">
        <v>27</v>
      </c>
      <c r="U194" t="s">
        <v>27</v>
      </c>
      <c r="V194" t="s">
        <v>29</v>
      </c>
      <c r="W194" t="s">
        <v>242</v>
      </c>
    </row>
    <row r="195" spans="1:23" x14ac:dyDescent="0.3">
      <c r="A195">
        <v>154</v>
      </c>
      <c r="B195" t="str">
        <f>HYPERLINK("https://imapinvasives.natureserve.org/imap/services/page/Presence/532119.html", "View")</f>
        <v>View</v>
      </c>
      <c r="C195">
        <v>532119</v>
      </c>
      <c r="D195">
        <v>532119</v>
      </c>
      <c r="E195" t="str">
        <f>HYPERLINK("http://imap3images.s3-website-us-east-1.amazonaws.com/532119/p/photourl1_2018_10_10_domagnew_0py4lj28.jpg", "View")</f>
        <v>View</v>
      </c>
      <c r="F195" t="s">
        <v>83</v>
      </c>
      <c r="G195" t="s">
        <v>84</v>
      </c>
      <c r="H195">
        <v>61321</v>
      </c>
      <c r="I195" t="str">
        <f>HYPERLINK("https://www.inaturalist.org/taxa/117443-Symphyotrichum-novae-angliae", "View")</f>
        <v>View</v>
      </c>
      <c r="J195" t="s">
        <v>165</v>
      </c>
      <c r="K195" t="s">
        <v>166</v>
      </c>
      <c r="L195">
        <v>117443</v>
      </c>
      <c r="M195">
        <v>21.47</v>
      </c>
      <c r="N195">
        <v>95.18</v>
      </c>
      <c r="O195">
        <v>0</v>
      </c>
      <c r="P195" t="s">
        <v>32</v>
      </c>
      <c r="Q195" t="s">
        <v>48</v>
      </c>
      <c r="R195">
        <v>89.08</v>
      </c>
      <c r="S195">
        <v>38.21</v>
      </c>
      <c r="T195" t="s">
        <v>28</v>
      </c>
      <c r="U195" t="s">
        <v>27</v>
      </c>
      <c r="V195" t="s">
        <v>29</v>
      </c>
      <c r="W195" t="s">
        <v>242</v>
      </c>
    </row>
    <row r="196" spans="1:23" x14ac:dyDescent="0.3">
      <c r="A196">
        <v>156</v>
      </c>
      <c r="B196" t="str">
        <f>HYPERLINK("https://imapinvasives.natureserve.org/imap/services/page/Presence/515221.html", "View")</f>
        <v>View</v>
      </c>
      <c r="C196">
        <v>515221</v>
      </c>
      <c r="D196">
        <v>515221</v>
      </c>
      <c r="E196" t="str">
        <f>HYPERLINK("http://imap3images.s3-website-us-east-1.amazonaws.com/515221/p/photourl1_2017_10_05_mirvinson_vwwqbibd.jpg", "View")</f>
        <v>View</v>
      </c>
      <c r="F196" t="s">
        <v>83</v>
      </c>
      <c r="G196" t="s">
        <v>84</v>
      </c>
      <c r="H196">
        <v>61321</v>
      </c>
      <c r="I196" t="str">
        <f>HYPERLINK("https://www.inaturalist.org/taxa/117443-Symphyotrichum-novae-angliae", "View")</f>
        <v>View</v>
      </c>
      <c r="J196" t="s">
        <v>165</v>
      </c>
      <c r="K196" t="s">
        <v>166</v>
      </c>
      <c r="L196">
        <v>117443</v>
      </c>
      <c r="M196">
        <v>21.47</v>
      </c>
      <c r="N196">
        <v>99.7</v>
      </c>
      <c r="O196">
        <v>0</v>
      </c>
      <c r="P196" t="s">
        <v>32</v>
      </c>
      <c r="Q196" t="s">
        <v>48</v>
      </c>
      <c r="R196">
        <v>89.08</v>
      </c>
      <c r="S196">
        <v>38.21</v>
      </c>
      <c r="T196" t="s">
        <v>28</v>
      </c>
      <c r="U196" t="s">
        <v>27</v>
      </c>
      <c r="V196" t="s">
        <v>29</v>
      </c>
      <c r="W196" t="s">
        <v>242</v>
      </c>
    </row>
    <row r="197" spans="1:23" x14ac:dyDescent="0.3">
      <c r="A197">
        <v>157</v>
      </c>
      <c r="B197" t="str">
        <f>HYPERLINK("https://imapinvasives.natureserve.org/imap/services/page/Presence/532100.html", "View")</f>
        <v>View</v>
      </c>
      <c r="C197">
        <v>532100</v>
      </c>
      <c r="D197">
        <v>532100</v>
      </c>
      <c r="E197" t="str">
        <f>HYPERLINK("http://imap3images.s3-website-us-east-1.amazonaws.com/532100/p/photourl1_2018_10_04_liaperez_0fdm2z8p.jpg", "View")</f>
        <v>View</v>
      </c>
      <c r="F197" t="s">
        <v>83</v>
      </c>
      <c r="G197" t="s">
        <v>84</v>
      </c>
      <c r="H197">
        <v>61321</v>
      </c>
      <c r="I197" t="str">
        <f>HYPERLINK("https://www.inaturalist.org/taxa/61321-Lythrum-salicaria", "View")</f>
        <v>View</v>
      </c>
      <c r="J197" t="s">
        <v>83</v>
      </c>
      <c r="K197" t="s">
        <v>164</v>
      </c>
      <c r="L197">
        <v>61321</v>
      </c>
      <c r="M197">
        <v>23.08</v>
      </c>
      <c r="N197">
        <v>12.43</v>
      </c>
      <c r="O197">
        <v>1</v>
      </c>
      <c r="P197" t="s">
        <v>25</v>
      </c>
      <c r="Q197" t="s">
        <v>48</v>
      </c>
      <c r="R197">
        <v>89.08</v>
      </c>
      <c r="S197">
        <v>38.21</v>
      </c>
      <c r="T197" t="s">
        <v>27</v>
      </c>
      <c r="U197" t="s">
        <v>27</v>
      </c>
      <c r="V197" t="s">
        <v>29</v>
      </c>
      <c r="W197" t="s">
        <v>242</v>
      </c>
    </row>
    <row r="198" spans="1:23" x14ac:dyDescent="0.3">
      <c r="A198">
        <v>159</v>
      </c>
      <c r="B198" t="str">
        <f>HYPERLINK("https://imapinvasives.natureserve.org/imap/services/page/Presence/1285801.html", "View")</f>
        <v>View</v>
      </c>
      <c r="C198">
        <v>1285801</v>
      </c>
      <c r="D198">
        <v>1295507</v>
      </c>
      <c r="E198" t="str">
        <f>HYPERLINK("http://imap3images.s3-website-us-east-1.amazonaws.com/1295507/p/imap_app_photo_1660068450260.jpg", "View")</f>
        <v>View</v>
      </c>
      <c r="F198" t="s">
        <v>83</v>
      </c>
      <c r="G198" t="s">
        <v>84</v>
      </c>
      <c r="H198">
        <v>61321</v>
      </c>
      <c r="I198" t="s">
        <v>33</v>
      </c>
      <c r="J198" t="s">
        <v>33</v>
      </c>
      <c r="K198" t="s">
        <v>33</v>
      </c>
      <c r="L198" t="s">
        <v>33</v>
      </c>
      <c r="M198" t="s">
        <v>33</v>
      </c>
      <c r="N198" t="s">
        <v>33</v>
      </c>
      <c r="O198">
        <v>0</v>
      </c>
      <c r="P198" t="s">
        <v>32</v>
      </c>
      <c r="Q198" t="s">
        <v>48</v>
      </c>
      <c r="R198">
        <v>89.08</v>
      </c>
      <c r="S198">
        <v>38.21</v>
      </c>
      <c r="T198" t="s">
        <v>27</v>
      </c>
      <c r="U198" t="s">
        <v>27</v>
      </c>
      <c r="V198" t="s">
        <v>29</v>
      </c>
      <c r="W198" t="s">
        <v>242</v>
      </c>
    </row>
    <row r="199" spans="1:23" x14ac:dyDescent="0.3">
      <c r="A199">
        <v>160</v>
      </c>
      <c r="B199" t="str">
        <f>HYPERLINK("https://imapinvasives.natureserve.org/imap/services/page/Presence/450743.html", "View")</f>
        <v>View</v>
      </c>
      <c r="C199">
        <v>450743</v>
      </c>
      <c r="D199">
        <v>450743</v>
      </c>
      <c r="E199" t="str">
        <f>HYPERLINK("http://imap3images.s3-website-us-east-1.amazonaws.com/450743/p/photourl1_2015_11_11_cornellfield3_sw1rzxn6.jpg", "View")</f>
        <v>View</v>
      </c>
      <c r="F199" t="s">
        <v>83</v>
      </c>
      <c r="G199" t="s">
        <v>84</v>
      </c>
      <c r="H199">
        <v>61321</v>
      </c>
      <c r="I199" t="str">
        <f>HYPERLINK("https://www.inaturalist.org/taxa/61321-Lythrum-salicaria", "View")</f>
        <v>View</v>
      </c>
      <c r="J199" t="s">
        <v>83</v>
      </c>
      <c r="K199" t="s">
        <v>164</v>
      </c>
      <c r="L199">
        <v>61321</v>
      </c>
      <c r="M199">
        <v>23.08</v>
      </c>
      <c r="N199">
        <v>20.149999999999999</v>
      </c>
      <c r="O199">
        <v>1</v>
      </c>
      <c r="P199" t="s">
        <v>25</v>
      </c>
      <c r="Q199" t="s">
        <v>48</v>
      </c>
      <c r="R199">
        <v>89.08</v>
      </c>
      <c r="S199">
        <v>38.21</v>
      </c>
      <c r="T199" t="s">
        <v>27</v>
      </c>
      <c r="U199" t="s">
        <v>27</v>
      </c>
      <c r="V199" t="s">
        <v>29</v>
      </c>
      <c r="W199" t="s">
        <v>242</v>
      </c>
    </row>
    <row r="200" spans="1:23" x14ac:dyDescent="0.3">
      <c r="A200">
        <v>162</v>
      </c>
      <c r="B200" t="str">
        <f>HYPERLINK("https://imapinvasives.natureserve.org/imap/services/page/Presence/1069271.html", "View")</f>
        <v>View</v>
      </c>
      <c r="C200">
        <v>1069271</v>
      </c>
      <c r="D200">
        <v>1074129</v>
      </c>
      <c r="E200" t="str">
        <f>HYPERLINK("http://imap3images.s3-website-us-east-1.amazonaws.com/1074129/p/20200915_121612.jpg", "View")</f>
        <v>View</v>
      </c>
      <c r="F200" t="s">
        <v>83</v>
      </c>
      <c r="G200" t="s">
        <v>84</v>
      </c>
      <c r="H200">
        <v>61321</v>
      </c>
      <c r="I200" t="str">
        <f>HYPERLINK("https://www.inaturalist.org/taxa/64237-Phragmites-australis", "View")</f>
        <v>View</v>
      </c>
      <c r="J200" t="s">
        <v>167</v>
      </c>
      <c r="K200" t="s">
        <v>168</v>
      </c>
      <c r="L200">
        <v>64237</v>
      </c>
      <c r="M200">
        <v>26.84</v>
      </c>
      <c r="N200">
        <v>97.49</v>
      </c>
      <c r="O200">
        <v>0</v>
      </c>
      <c r="P200" t="s">
        <v>32</v>
      </c>
      <c r="Q200" t="s">
        <v>48</v>
      </c>
      <c r="R200">
        <v>89.08</v>
      </c>
      <c r="S200">
        <v>38.21</v>
      </c>
      <c r="T200" t="s">
        <v>28</v>
      </c>
      <c r="U200" t="s">
        <v>27</v>
      </c>
      <c r="V200" t="s">
        <v>29</v>
      </c>
      <c r="W200" t="s">
        <v>242</v>
      </c>
    </row>
    <row r="201" spans="1:23" x14ac:dyDescent="0.3">
      <c r="A201">
        <v>163</v>
      </c>
      <c r="B201" t="str">
        <f>HYPERLINK("https://imapinvasives.natureserve.org/imap/services/page/Presence/515641.html", "View")</f>
        <v>View</v>
      </c>
      <c r="C201">
        <v>515641</v>
      </c>
      <c r="D201">
        <v>515641</v>
      </c>
      <c r="E201" t="str">
        <f>HYPERLINK("http://imap3images.s3-website-us-east-1.amazonaws.com/515641/p/photourl1_2017_10_05_anaschlanzky_zsdra30g.jpg", "View")</f>
        <v>View</v>
      </c>
      <c r="F201" t="s">
        <v>83</v>
      </c>
      <c r="G201" t="s">
        <v>84</v>
      </c>
      <c r="H201">
        <v>61321</v>
      </c>
      <c r="I201" t="str">
        <f>HYPERLINK("https://www.inaturalist.org/taxa/142279-Symphyotrichum-pilosum", "View")</f>
        <v>View</v>
      </c>
      <c r="J201" t="s">
        <v>169</v>
      </c>
      <c r="K201" t="s">
        <v>170</v>
      </c>
      <c r="L201">
        <v>142279</v>
      </c>
      <c r="M201">
        <v>3.5</v>
      </c>
      <c r="N201">
        <v>74.91</v>
      </c>
      <c r="O201">
        <v>0</v>
      </c>
      <c r="P201" t="s">
        <v>32</v>
      </c>
      <c r="Q201" t="s">
        <v>48</v>
      </c>
      <c r="R201">
        <v>89.08</v>
      </c>
      <c r="S201">
        <v>38.21</v>
      </c>
      <c r="T201" t="s">
        <v>27</v>
      </c>
      <c r="U201" t="s">
        <v>27</v>
      </c>
      <c r="V201" t="s">
        <v>29</v>
      </c>
      <c r="W201" t="s">
        <v>242</v>
      </c>
    </row>
    <row r="202" spans="1:23" x14ac:dyDescent="0.3">
      <c r="A202">
        <v>164</v>
      </c>
      <c r="B202" t="str">
        <f>HYPERLINK("https://imapinvasives.natureserve.org/imap/services/page/Presence/1362002.html", "View")</f>
        <v>View</v>
      </c>
      <c r="C202">
        <v>1362002</v>
      </c>
      <c r="D202">
        <v>1379642</v>
      </c>
      <c r="E202" t="str">
        <f>HYPERLINK("http://imap3images.s3-website-us-east-1.amazonaws.com/1379642/p/Photo1-20231020-155143.jpg", "View")</f>
        <v>View</v>
      </c>
      <c r="F202" t="s">
        <v>83</v>
      </c>
      <c r="G202" t="s">
        <v>84</v>
      </c>
      <c r="H202">
        <v>61321</v>
      </c>
      <c r="I202" t="str">
        <f>HYPERLINK("https://www.inaturalist.org/taxa/77917-Lysimachia-thyrsiflora", "View")</f>
        <v>View</v>
      </c>
      <c r="J202" t="s">
        <v>171</v>
      </c>
      <c r="K202" t="s">
        <v>172</v>
      </c>
      <c r="L202">
        <v>77917</v>
      </c>
      <c r="M202">
        <v>3.86</v>
      </c>
      <c r="N202">
        <v>31.66</v>
      </c>
      <c r="O202">
        <v>0</v>
      </c>
      <c r="P202" t="s">
        <v>32</v>
      </c>
      <c r="Q202" t="s">
        <v>48</v>
      </c>
      <c r="R202">
        <v>89.08</v>
      </c>
      <c r="S202">
        <v>38.21</v>
      </c>
      <c r="T202" t="s">
        <v>27</v>
      </c>
      <c r="U202" t="s">
        <v>27</v>
      </c>
      <c r="V202" t="s">
        <v>29</v>
      </c>
      <c r="W202" t="s">
        <v>242</v>
      </c>
    </row>
    <row r="203" spans="1:23" x14ac:dyDescent="0.3">
      <c r="A203">
        <v>166</v>
      </c>
      <c r="B203" t="str">
        <f>HYPERLINK("https://imapinvasives.natureserve.org/imap/services/page/Presence/1441343.html", "View")</f>
        <v>View</v>
      </c>
      <c r="C203">
        <v>1441343</v>
      </c>
      <c r="D203">
        <v>1455801</v>
      </c>
      <c r="E203" t="str">
        <f>HYPERLINK("http://imap3images.s3-website-us-east-1.amazonaws.com/1455801/p/imap_app_photo_1723917773842.jpg", "View")</f>
        <v>View</v>
      </c>
      <c r="F203" t="s">
        <v>83</v>
      </c>
      <c r="G203" t="s">
        <v>84</v>
      </c>
      <c r="H203">
        <v>61321</v>
      </c>
      <c r="I203" t="str">
        <f>HYPERLINK("https://www.inaturalist.org/taxa/19893-Strix-varia", "View")</f>
        <v>View</v>
      </c>
      <c r="J203" t="s">
        <v>173</v>
      </c>
      <c r="K203" t="s">
        <v>174</v>
      </c>
      <c r="L203">
        <v>19893</v>
      </c>
      <c r="M203">
        <v>10.14</v>
      </c>
      <c r="N203">
        <v>17.059999999999999</v>
      </c>
      <c r="O203">
        <v>0</v>
      </c>
      <c r="P203" t="s">
        <v>32</v>
      </c>
      <c r="Q203" t="s">
        <v>48</v>
      </c>
      <c r="R203">
        <v>89.08</v>
      </c>
      <c r="S203">
        <v>38.21</v>
      </c>
      <c r="T203" t="s">
        <v>27</v>
      </c>
      <c r="U203" t="s">
        <v>27</v>
      </c>
      <c r="V203" t="s">
        <v>29</v>
      </c>
      <c r="W203" t="s">
        <v>242</v>
      </c>
    </row>
    <row r="204" spans="1:23" x14ac:dyDescent="0.3">
      <c r="A204">
        <v>167</v>
      </c>
      <c r="B204" t="str">
        <f>HYPERLINK("https://imapinvasives.natureserve.org/imap/services/page/Presence/1411326.html", "View")</f>
        <v>View</v>
      </c>
      <c r="C204">
        <v>1411326</v>
      </c>
      <c r="D204">
        <v>1423894</v>
      </c>
      <c r="E204" t="str">
        <f>HYPERLINK("http://imap3images.s3-website-us-east-1.amazonaws.com/1423894/p/imap_app_photo_1718229259600.jpg", "View")</f>
        <v>View</v>
      </c>
      <c r="F204" t="s">
        <v>83</v>
      </c>
      <c r="G204" t="s">
        <v>84</v>
      </c>
      <c r="H204">
        <v>61321</v>
      </c>
      <c r="I204" t="str">
        <f>HYPERLINK("https://www.inaturalist.org/taxa/71034-Tenodera-sinensis", "View")</f>
        <v>View</v>
      </c>
      <c r="J204" t="s">
        <v>175</v>
      </c>
      <c r="K204" t="s">
        <v>176</v>
      </c>
      <c r="L204">
        <v>71034</v>
      </c>
      <c r="M204">
        <v>84.83</v>
      </c>
      <c r="N204">
        <v>47.69</v>
      </c>
      <c r="O204">
        <v>0</v>
      </c>
      <c r="P204" t="s">
        <v>32</v>
      </c>
      <c r="Q204" t="s">
        <v>48</v>
      </c>
      <c r="R204">
        <v>89.08</v>
      </c>
      <c r="S204">
        <v>38.21</v>
      </c>
      <c r="T204" t="s">
        <v>27</v>
      </c>
      <c r="U204" t="s">
        <v>28</v>
      </c>
      <c r="V204" t="s">
        <v>29</v>
      </c>
      <c r="W204" t="s">
        <v>242</v>
      </c>
    </row>
    <row r="205" spans="1:23" x14ac:dyDescent="0.3">
      <c r="A205">
        <v>169</v>
      </c>
      <c r="B205" t="str">
        <f>HYPERLINK("https://imapinvasives.natureserve.org/imap/services/page/Presence/515498.html", "View")</f>
        <v>View</v>
      </c>
      <c r="C205">
        <v>515498</v>
      </c>
      <c r="D205">
        <v>515498</v>
      </c>
      <c r="E205" t="str">
        <f>HYPERLINK("http://imap3images.s3-website-us-east-1.amazonaws.com/515498/p/photourl1_2017_10_06_matmilward_7ke0iutl.jpg", "View")</f>
        <v>View</v>
      </c>
      <c r="F205" t="s">
        <v>83</v>
      </c>
      <c r="G205" t="s">
        <v>84</v>
      </c>
      <c r="H205">
        <v>61321</v>
      </c>
      <c r="I205" t="str">
        <f>HYPERLINK("https://www.inaturalist.org/taxa/163909-Hymenachne-amplexicaulis", "View")</f>
        <v>View</v>
      </c>
      <c r="J205" t="s">
        <v>177</v>
      </c>
      <c r="K205" t="s">
        <v>33</v>
      </c>
      <c r="L205">
        <v>163909</v>
      </c>
      <c r="M205">
        <v>0</v>
      </c>
      <c r="N205">
        <v>32.72</v>
      </c>
      <c r="O205">
        <v>0</v>
      </c>
      <c r="P205" t="s">
        <v>32</v>
      </c>
      <c r="Q205" t="s">
        <v>48</v>
      </c>
      <c r="R205">
        <v>89.08</v>
      </c>
      <c r="S205">
        <v>38.21</v>
      </c>
      <c r="T205" t="s">
        <v>27</v>
      </c>
      <c r="U205" t="s">
        <v>27</v>
      </c>
      <c r="V205" t="s">
        <v>29</v>
      </c>
      <c r="W205" t="s">
        <v>242</v>
      </c>
    </row>
    <row r="206" spans="1:23" x14ac:dyDescent="0.3">
      <c r="A206">
        <v>172</v>
      </c>
      <c r="B206" t="str">
        <f>HYPERLINK("https://imapinvasives.natureserve.org/imap/services/page/Presence/515360.html", "View")</f>
        <v>View</v>
      </c>
      <c r="C206">
        <v>515360</v>
      </c>
      <c r="D206">
        <v>515360</v>
      </c>
      <c r="E206" t="str">
        <f>HYPERLINK("http://imap3images.s3-website-us-east-1.amazonaws.com/515360/p/photourl1_2017_10_05_emmyarhouse_crflst01.jpg", "View")</f>
        <v>View</v>
      </c>
      <c r="F206" t="s">
        <v>83</v>
      </c>
      <c r="G206" t="s">
        <v>84</v>
      </c>
      <c r="H206">
        <v>61321</v>
      </c>
      <c r="I206" t="str">
        <f>HYPERLINK("https://www.inaturalist.org/taxa/142279-Symphyotrichum-pilosum", "View")</f>
        <v>View</v>
      </c>
      <c r="J206" t="s">
        <v>169</v>
      </c>
      <c r="K206" t="s">
        <v>170</v>
      </c>
      <c r="L206">
        <v>142279</v>
      </c>
      <c r="M206">
        <v>3.5</v>
      </c>
      <c r="N206">
        <v>70.38</v>
      </c>
      <c r="O206">
        <v>0</v>
      </c>
      <c r="P206" t="s">
        <v>32</v>
      </c>
      <c r="Q206" t="s">
        <v>48</v>
      </c>
      <c r="R206">
        <v>89.08</v>
      </c>
      <c r="S206">
        <v>38.21</v>
      </c>
      <c r="T206" t="s">
        <v>27</v>
      </c>
      <c r="U206" t="s">
        <v>27</v>
      </c>
      <c r="V206" t="s">
        <v>29</v>
      </c>
      <c r="W206" t="s">
        <v>242</v>
      </c>
    </row>
    <row r="207" spans="1:23" x14ac:dyDescent="0.3">
      <c r="A207">
        <v>173</v>
      </c>
      <c r="B207" t="str">
        <f>HYPERLINK("https://imapinvasives.natureserve.org/imap/services/page/Presence/532023.html", "View")</f>
        <v>View</v>
      </c>
      <c r="C207">
        <v>532023</v>
      </c>
      <c r="D207">
        <v>532023</v>
      </c>
      <c r="E207" t="str">
        <f>HYPERLINK("http://imap3images.s3-website-us-east-1.amazonaws.com/532023/p/photourl1_2018_10_04_angzeng_jlem555l.jpg", "View")</f>
        <v>View</v>
      </c>
      <c r="F207" t="s">
        <v>83</v>
      </c>
      <c r="G207" t="s">
        <v>84</v>
      </c>
      <c r="H207">
        <v>61321</v>
      </c>
      <c r="I207" t="str">
        <f>HYPERLINK("https://www.inaturalist.org/taxa/52856-Artemisia-vulgaris", "View")</f>
        <v>View</v>
      </c>
      <c r="J207" t="s">
        <v>122</v>
      </c>
      <c r="K207" t="s">
        <v>178</v>
      </c>
      <c r="L207">
        <v>52856</v>
      </c>
      <c r="M207">
        <v>23.94</v>
      </c>
      <c r="N207">
        <v>5.72</v>
      </c>
      <c r="O207">
        <v>0</v>
      </c>
      <c r="P207" t="s">
        <v>32</v>
      </c>
      <c r="Q207" t="s">
        <v>48</v>
      </c>
      <c r="R207">
        <v>89.08</v>
      </c>
      <c r="S207">
        <v>38.21</v>
      </c>
      <c r="T207" t="s">
        <v>27</v>
      </c>
      <c r="U207" t="s">
        <v>27</v>
      </c>
      <c r="V207" t="s">
        <v>29</v>
      </c>
      <c r="W207" t="s">
        <v>242</v>
      </c>
    </row>
    <row r="208" spans="1:23" x14ac:dyDescent="0.3">
      <c r="A208">
        <v>174</v>
      </c>
      <c r="B208" t="str">
        <f>HYPERLINK("https://imapinvasives.natureserve.org/imap/services/page/Presence/1350684.html", "View")</f>
        <v>View</v>
      </c>
      <c r="C208">
        <v>1350684</v>
      </c>
      <c r="D208">
        <v>1367850</v>
      </c>
      <c r="E208" t="str">
        <f>HYPERLINK("http://imap3images.s3-website-us-east-1.amazonaws.com/1367850/p/imap_app_photo_1693316064230.jpg", "View")</f>
        <v>View</v>
      </c>
      <c r="F208" t="s">
        <v>83</v>
      </c>
      <c r="G208" t="s">
        <v>84</v>
      </c>
      <c r="H208">
        <v>61321</v>
      </c>
      <c r="I208" t="str">
        <f>HYPERLINK("https://www.inaturalist.org/taxa/57457-Stachys-palustris", "View")</f>
        <v>View</v>
      </c>
      <c r="J208" t="s">
        <v>179</v>
      </c>
      <c r="K208" t="s">
        <v>180</v>
      </c>
      <c r="L208">
        <v>57457</v>
      </c>
      <c r="M208">
        <v>0.49</v>
      </c>
      <c r="N208">
        <v>34.369999999999997</v>
      </c>
      <c r="O208">
        <v>0</v>
      </c>
      <c r="P208" t="s">
        <v>32</v>
      </c>
      <c r="Q208" t="s">
        <v>48</v>
      </c>
      <c r="R208">
        <v>89.08</v>
      </c>
      <c r="S208">
        <v>38.21</v>
      </c>
      <c r="T208" t="s">
        <v>27</v>
      </c>
      <c r="U208" t="s">
        <v>27</v>
      </c>
      <c r="V208" t="s">
        <v>29</v>
      </c>
      <c r="W208" t="s">
        <v>242</v>
      </c>
    </row>
    <row r="209" spans="1:23" x14ac:dyDescent="0.3">
      <c r="A209">
        <v>175</v>
      </c>
      <c r="B209" t="str">
        <f>HYPERLINK("https://imapinvasives.natureserve.org/imap/services/page/Presence/450661.html", "View")</f>
        <v>View</v>
      </c>
      <c r="C209">
        <v>450661</v>
      </c>
      <c r="D209">
        <v>450661</v>
      </c>
      <c r="E209" t="str">
        <f>HYPERLINK("http://imap3images.s3-website-us-east-1.amazonaws.com/450661/p/photourl3_2015_11_10_cornellfield3_rbntdrnp.jpg", "View")</f>
        <v>View</v>
      </c>
      <c r="F209" t="s">
        <v>83</v>
      </c>
      <c r="G209" t="s">
        <v>84</v>
      </c>
      <c r="H209">
        <v>61321</v>
      </c>
      <c r="I209" t="s">
        <v>33</v>
      </c>
      <c r="J209" t="s">
        <v>33</v>
      </c>
      <c r="K209" t="s">
        <v>33</v>
      </c>
      <c r="L209" t="s">
        <v>33</v>
      </c>
      <c r="M209" t="s">
        <v>33</v>
      </c>
      <c r="N209" t="s">
        <v>33</v>
      </c>
      <c r="O209">
        <v>0</v>
      </c>
      <c r="P209" t="s">
        <v>32</v>
      </c>
      <c r="Q209" t="s">
        <v>48</v>
      </c>
      <c r="R209">
        <v>89.08</v>
      </c>
      <c r="S209">
        <v>38.21</v>
      </c>
      <c r="T209" t="s">
        <v>27</v>
      </c>
      <c r="U209" t="s">
        <v>27</v>
      </c>
      <c r="V209" t="s">
        <v>29</v>
      </c>
      <c r="W209" t="s">
        <v>242</v>
      </c>
    </row>
    <row r="210" spans="1:23" x14ac:dyDescent="0.3">
      <c r="A210">
        <v>177</v>
      </c>
      <c r="B210" t="str">
        <f>HYPERLINK("https://imapinvasives.natureserve.org/imap/services/page/Presence/1334374.html", "View")</f>
        <v>View</v>
      </c>
      <c r="C210">
        <v>1334374</v>
      </c>
      <c r="D210">
        <v>1348493</v>
      </c>
      <c r="E210" t="str">
        <f>HYPERLINK("http://imap3images.s3-website-us-east-1.amazonaws.com/1348493/p/imap_app_photo_1686077466532.jpg", "View")</f>
        <v>View</v>
      </c>
      <c r="F210" t="s">
        <v>83</v>
      </c>
      <c r="G210" t="s">
        <v>84</v>
      </c>
      <c r="H210">
        <v>61321</v>
      </c>
      <c r="I210" t="str">
        <f>HYPERLINK("https://www.inaturalist.org/taxa/79148-Solidago-altissima", "View")</f>
        <v>View</v>
      </c>
      <c r="J210" t="s">
        <v>181</v>
      </c>
      <c r="K210" t="s">
        <v>182</v>
      </c>
      <c r="L210">
        <v>79148</v>
      </c>
      <c r="M210">
        <v>12.05</v>
      </c>
      <c r="N210">
        <v>20.8</v>
      </c>
      <c r="O210">
        <v>0</v>
      </c>
      <c r="P210" t="s">
        <v>32</v>
      </c>
      <c r="Q210" t="s">
        <v>48</v>
      </c>
      <c r="R210">
        <v>89.08</v>
      </c>
      <c r="S210">
        <v>38.21</v>
      </c>
      <c r="T210" t="s">
        <v>27</v>
      </c>
      <c r="U210" t="s">
        <v>27</v>
      </c>
      <c r="V210" t="s">
        <v>29</v>
      </c>
      <c r="W210" t="s">
        <v>242</v>
      </c>
    </row>
    <row r="211" spans="1:23" x14ac:dyDescent="0.3">
      <c r="A211">
        <v>179</v>
      </c>
      <c r="B211" t="str">
        <f>HYPERLINK("https://imapinvasives.natureserve.org/imap/services/page/Presence/1289102.html", "View")</f>
        <v>View</v>
      </c>
      <c r="C211">
        <v>1289102</v>
      </c>
      <c r="D211">
        <v>1299193</v>
      </c>
      <c r="E211" t="str">
        <f>HYPERLINK("http://imap3images.s3-website-us-east-1.amazonaws.com/1299193/p/Photo3-20220824-224559.jpg", "View")</f>
        <v>View</v>
      </c>
      <c r="F211" t="s">
        <v>183</v>
      </c>
      <c r="G211" t="s">
        <v>184</v>
      </c>
      <c r="H211">
        <v>160273</v>
      </c>
      <c r="I211" t="str">
        <f>HYPERLINK("https://www.inaturalist.org/taxa/130989-Euthamia-graminifolia", "View")</f>
        <v>View</v>
      </c>
      <c r="J211" t="s">
        <v>185</v>
      </c>
      <c r="K211" t="s">
        <v>186</v>
      </c>
      <c r="L211">
        <v>130989</v>
      </c>
      <c r="M211">
        <v>20.149999999999999</v>
      </c>
      <c r="N211">
        <v>28.41</v>
      </c>
      <c r="O211">
        <v>0</v>
      </c>
      <c r="P211" t="s">
        <v>32</v>
      </c>
      <c r="Q211" t="s">
        <v>48</v>
      </c>
      <c r="R211">
        <v>77.62</v>
      </c>
      <c r="S211">
        <v>36.5</v>
      </c>
      <c r="T211" t="s">
        <v>27</v>
      </c>
      <c r="U211" t="s">
        <v>27</v>
      </c>
      <c r="V211" t="s">
        <v>29</v>
      </c>
      <c r="W211" t="s">
        <v>242</v>
      </c>
    </row>
    <row r="212" spans="1:23" x14ac:dyDescent="0.3">
      <c r="A212">
        <v>179</v>
      </c>
      <c r="B212" t="str">
        <f>HYPERLINK("https://imapinvasives.natureserve.org/imap/services/page/Presence/1289102.html", "View")</f>
        <v>View</v>
      </c>
      <c r="C212">
        <v>1289102</v>
      </c>
      <c r="D212">
        <v>1299194</v>
      </c>
      <c r="E212" t="str">
        <f>HYPERLINK("http://imap3images.s3-website-us-east-1.amazonaws.com/1299194/p/Photo3-20220824-224323.jpg", "View")</f>
        <v>View</v>
      </c>
      <c r="F212" t="s">
        <v>187</v>
      </c>
      <c r="G212" t="s">
        <v>188</v>
      </c>
      <c r="H212">
        <v>117438</v>
      </c>
      <c r="I212" t="str">
        <f>HYPERLINK("https://www.inaturalist.org/taxa/56002-Dipsacus-fullonum", "View")</f>
        <v>View</v>
      </c>
      <c r="J212" t="s">
        <v>189</v>
      </c>
      <c r="K212" t="s">
        <v>190</v>
      </c>
      <c r="L212">
        <v>56002</v>
      </c>
      <c r="M212">
        <v>36</v>
      </c>
      <c r="N212">
        <v>84.97</v>
      </c>
      <c r="O212">
        <v>0</v>
      </c>
      <c r="P212" t="s">
        <v>32</v>
      </c>
      <c r="Q212" t="s">
        <v>48</v>
      </c>
      <c r="R212">
        <v>77.62</v>
      </c>
      <c r="S212">
        <v>36.5</v>
      </c>
      <c r="T212" t="s">
        <v>28</v>
      </c>
      <c r="U212" t="s">
        <v>27</v>
      </c>
      <c r="V212" t="s">
        <v>29</v>
      </c>
      <c r="W212" t="s">
        <v>242</v>
      </c>
    </row>
    <row r="213" spans="1:23" x14ac:dyDescent="0.3">
      <c r="A213">
        <v>179</v>
      </c>
      <c r="B213" t="str">
        <f>HYPERLINK("https://imapinvasives.natureserve.org/imap/services/page/Presence/1289102.html", "View")</f>
        <v>View</v>
      </c>
      <c r="C213">
        <v>1289102</v>
      </c>
      <c r="D213">
        <v>1299192</v>
      </c>
      <c r="E213" t="str">
        <f>HYPERLINK("http://imap3images.s3-website-us-east-1.amazonaws.com/1299192/p/Photo3-20220824-224107.jpg", "View")</f>
        <v>View</v>
      </c>
      <c r="F213" t="s">
        <v>83</v>
      </c>
      <c r="G213" t="s">
        <v>84</v>
      </c>
      <c r="H213">
        <v>61321</v>
      </c>
      <c r="I213" t="str">
        <f>HYPERLINK("https://www.inaturalist.org/taxa/61321-Lythrum-salicaria", "View")</f>
        <v>View</v>
      </c>
      <c r="J213" t="s">
        <v>83</v>
      </c>
      <c r="K213" t="s">
        <v>164</v>
      </c>
      <c r="L213">
        <v>61321</v>
      </c>
      <c r="M213">
        <v>39.869999999999997</v>
      </c>
      <c r="N213">
        <v>73.11</v>
      </c>
      <c r="O213">
        <v>1</v>
      </c>
      <c r="P213" t="s">
        <v>25</v>
      </c>
      <c r="Q213" t="s">
        <v>48</v>
      </c>
      <c r="R213">
        <v>89.08</v>
      </c>
      <c r="S213">
        <v>38.21</v>
      </c>
      <c r="T213" t="s">
        <v>27</v>
      </c>
      <c r="U213" t="s">
        <v>28</v>
      </c>
      <c r="V213" t="s">
        <v>29</v>
      </c>
      <c r="W213" t="s">
        <v>242</v>
      </c>
    </row>
    <row r="214" spans="1:23" x14ac:dyDescent="0.3">
      <c r="A214">
        <v>180</v>
      </c>
      <c r="B214" t="str">
        <f>HYPERLINK("https://imapinvasives.natureserve.org/imap/services/page/Presence/533161.html", "View")</f>
        <v>View</v>
      </c>
      <c r="C214">
        <v>533161</v>
      </c>
      <c r="D214">
        <v>533161</v>
      </c>
      <c r="E214" t="str">
        <f>HYPERLINK("http://imap3images.s3-website-us-east-1.amazonaws.com/533161/p/photourl1_2019_03_07_colflynn_dcoy14dq.jpg", "View")</f>
        <v>View</v>
      </c>
      <c r="F214" t="s">
        <v>140</v>
      </c>
      <c r="G214" t="s">
        <v>191</v>
      </c>
      <c r="H214">
        <v>54811</v>
      </c>
      <c r="I214" t="str">
        <f>HYPERLINK("https://www.inaturalist.org/taxa/54834-Prunus-serotina", "View")</f>
        <v>View</v>
      </c>
      <c r="J214" t="s">
        <v>192</v>
      </c>
      <c r="K214" t="s">
        <v>193</v>
      </c>
      <c r="L214">
        <v>54834</v>
      </c>
      <c r="M214">
        <v>23.77</v>
      </c>
      <c r="N214">
        <v>97.72</v>
      </c>
      <c r="O214">
        <v>0</v>
      </c>
      <c r="P214" t="s">
        <v>32</v>
      </c>
      <c r="Q214" t="s">
        <v>48</v>
      </c>
      <c r="R214">
        <v>81.5</v>
      </c>
      <c r="S214">
        <v>31.47</v>
      </c>
      <c r="T214" t="s">
        <v>28</v>
      </c>
      <c r="U214" t="s">
        <v>27</v>
      </c>
      <c r="V214" t="s">
        <v>29</v>
      </c>
      <c r="W214" t="s">
        <v>242</v>
      </c>
    </row>
    <row r="215" spans="1:23" x14ac:dyDescent="0.3">
      <c r="A215">
        <v>181</v>
      </c>
      <c r="B215" t="str">
        <f>HYPERLINK("https://imapinvasives.natureserve.org/imap/services/page/Presence/1271547.html", "View")</f>
        <v>View</v>
      </c>
      <c r="C215">
        <v>1271547</v>
      </c>
      <c r="D215">
        <v>1280514</v>
      </c>
      <c r="E215" t="str">
        <f>HYPERLINK("http://imap3images.s3-website-us-east-1.amazonaws.com/1280514/p/imap_app_photo_1651610916406.jpg", "View")</f>
        <v>View</v>
      </c>
      <c r="F215" t="s">
        <v>140</v>
      </c>
      <c r="G215" t="s">
        <v>191</v>
      </c>
      <c r="H215">
        <v>54811</v>
      </c>
      <c r="I215" t="str">
        <f>HYPERLINK("https://www.inaturalist.org/taxa/54811-Rhamnus-cathartica", "View")</f>
        <v>View</v>
      </c>
      <c r="J215" t="s">
        <v>140</v>
      </c>
      <c r="K215" t="s">
        <v>141</v>
      </c>
      <c r="L215">
        <v>54811</v>
      </c>
      <c r="M215">
        <v>33.47</v>
      </c>
      <c r="N215">
        <v>80.099999999999994</v>
      </c>
      <c r="O215">
        <v>1</v>
      </c>
      <c r="P215" t="s">
        <v>25</v>
      </c>
      <c r="Q215" t="s">
        <v>48</v>
      </c>
      <c r="R215">
        <v>81.5</v>
      </c>
      <c r="S215">
        <v>31.47</v>
      </c>
      <c r="T215" t="s">
        <v>27</v>
      </c>
      <c r="U215" t="s">
        <v>28</v>
      </c>
      <c r="V215" t="s">
        <v>29</v>
      </c>
      <c r="W215" t="s">
        <v>241</v>
      </c>
    </row>
    <row r="216" spans="1:23" x14ac:dyDescent="0.3">
      <c r="A216">
        <v>182</v>
      </c>
      <c r="B216" t="str">
        <f>HYPERLINK("https://imapinvasives.natureserve.org/imap/services/page/Presence/450696.html", "View")</f>
        <v>View</v>
      </c>
      <c r="C216">
        <v>450696</v>
      </c>
      <c r="D216">
        <v>450696</v>
      </c>
      <c r="E216" t="str">
        <f>HYPERLINK("http://imap3images.s3-website-us-east-1.amazonaws.com/450696/p/photourl3_2015_11_10_cornellfield3_c4kseid9.jpg", "View")</f>
        <v>View</v>
      </c>
      <c r="F216" t="s">
        <v>140</v>
      </c>
      <c r="G216" t="s">
        <v>191</v>
      </c>
      <c r="H216">
        <v>54811</v>
      </c>
      <c r="I216" t="s">
        <v>33</v>
      </c>
      <c r="J216" t="s">
        <v>33</v>
      </c>
      <c r="K216" t="s">
        <v>33</v>
      </c>
      <c r="L216" t="s">
        <v>33</v>
      </c>
      <c r="M216" t="s">
        <v>33</v>
      </c>
      <c r="N216" t="s">
        <v>33</v>
      </c>
      <c r="O216">
        <v>0</v>
      </c>
      <c r="P216" t="s">
        <v>32</v>
      </c>
      <c r="Q216" t="s">
        <v>48</v>
      </c>
      <c r="R216">
        <v>81.5</v>
      </c>
      <c r="S216">
        <v>31.47</v>
      </c>
      <c r="T216" t="s">
        <v>27</v>
      </c>
      <c r="U216" t="s">
        <v>27</v>
      </c>
      <c r="V216" t="s">
        <v>29</v>
      </c>
      <c r="W216" t="s">
        <v>242</v>
      </c>
    </row>
    <row r="217" spans="1:23" x14ac:dyDescent="0.3">
      <c r="A217">
        <v>183</v>
      </c>
      <c r="B217" t="str">
        <f>HYPERLINK("https://imapinvasives.natureserve.org/imap/services/page/Presence/1280892.html", "View")</f>
        <v>View</v>
      </c>
      <c r="C217">
        <v>1280892</v>
      </c>
      <c r="D217">
        <v>1290302</v>
      </c>
      <c r="E217" t="str">
        <f>HYPERLINK("http://imap3images.s3-website-us-east-1.amazonaws.com/1290302/p/imap_app_photo_1656765262669.jpg", "View")</f>
        <v>View</v>
      </c>
      <c r="F217" t="s">
        <v>140</v>
      </c>
      <c r="G217" t="s">
        <v>191</v>
      </c>
      <c r="H217">
        <v>54811</v>
      </c>
      <c r="I217" t="str">
        <f>HYPERLINK("https://www.inaturalist.org/taxa/54811-Rhamnus-cathartica", "View")</f>
        <v>View</v>
      </c>
      <c r="J217" t="s">
        <v>140</v>
      </c>
      <c r="K217" t="s">
        <v>141</v>
      </c>
      <c r="L217">
        <v>54811</v>
      </c>
      <c r="M217">
        <v>40.36</v>
      </c>
      <c r="N217">
        <v>69.8</v>
      </c>
      <c r="O217">
        <v>1</v>
      </c>
      <c r="P217" t="s">
        <v>25</v>
      </c>
      <c r="Q217" t="s">
        <v>48</v>
      </c>
      <c r="R217">
        <v>81.5</v>
      </c>
      <c r="S217">
        <v>31.47</v>
      </c>
      <c r="T217" t="s">
        <v>27</v>
      </c>
      <c r="U217" t="s">
        <v>28</v>
      </c>
      <c r="V217" t="s">
        <v>29</v>
      </c>
      <c r="W217" t="s">
        <v>242</v>
      </c>
    </row>
    <row r="218" spans="1:23" x14ac:dyDescent="0.3">
      <c r="A218">
        <v>184</v>
      </c>
      <c r="B218" t="str">
        <f>HYPERLINK("https://imapinvasives.natureserve.org/imap/services/page/Presence/1322672.html", "View")</f>
        <v>View</v>
      </c>
      <c r="C218">
        <v>1322672</v>
      </c>
      <c r="D218">
        <v>1334806</v>
      </c>
      <c r="E218" t="str">
        <f>HYPERLINK("http://imap3images.s3-website-us-east-1.amazonaws.com/1334806/p/imap_app_photo_1677538427594.jpg", "View")</f>
        <v>View</v>
      </c>
      <c r="F218" t="s">
        <v>140</v>
      </c>
      <c r="G218" t="s">
        <v>191</v>
      </c>
      <c r="H218">
        <v>54811</v>
      </c>
      <c r="I218" t="str">
        <f>HYPERLINK("https://www.inaturalist.org/taxa/58700-Apiosporina-morbosa", "View")</f>
        <v>View</v>
      </c>
      <c r="J218" t="s">
        <v>194</v>
      </c>
      <c r="K218" t="s">
        <v>195</v>
      </c>
      <c r="L218">
        <v>58700</v>
      </c>
      <c r="M218">
        <v>10.39</v>
      </c>
      <c r="N218">
        <v>15.7</v>
      </c>
      <c r="O218">
        <v>0</v>
      </c>
      <c r="P218" t="s">
        <v>32</v>
      </c>
      <c r="Q218" t="s">
        <v>48</v>
      </c>
      <c r="R218">
        <v>81.5</v>
      </c>
      <c r="S218">
        <v>31.47</v>
      </c>
      <c r="T218" t="s">
        <v>27</v>
      </c>
      <c r="U218" t="s">
        <v>27</v>
      </c>
      <c r="V218" t="s">
        <v>29</v>
      </c>
      <c r="W218" t="s">
        <v>242</v>
      </c>
    </row>
    <row r="219" spans="1:23" x14ac:dyDescent="0.3">
      <c r="A219">
        <v>185</v>
      </c>
      <c r="B219" t="str">
        <f>HYPERLINK("https://imapinvasives.natureserve.org/imap/services/page/Presence/533400.html", "View")</f>
        <v>View</v>
      </c>
      <c r="C219">
        <v>533400</v>
      </c>
      <c r="D219">
        <v>533400</v>
      </c>
      <c r="E219" t="str">
        <f>HYPERLINK("http://imap3images.s3-website-us-east-1.amazonaws.com/533400/p/photourl1_2019_03_04_chrbolt_38gkiqm0.jpg", "View")</f>
        <v>View</v>
      </c>
      <c r="F219" t="s">
        <v>140</v>
      </c>
      <c r="G219" t="s">
        <v>191</v>
      </c>
      <c r="H219">
        <v>54811</v>
      </c>
      <c r="I219" t="str">
        <f>HYPERLINK("https://www.inaturalist.org/taxa/61223-Malus-sylvestris", "View")</f>
        <v>View</v>
      </c>
      <c r="J219" t="s">
        <v>196</v>
      </c>
      <c r="K219" t="s">
        <v>197</v>
      </c>
      <c r="L219">
        <v>61223</v>
      </c>
      <c r="M219">
        <v>0.81</v>
      </c>
      <c r="N219">
        <v>23.14</v>
      </c>
      <c r="O219">
        <v>0</v>
      </c>
      <c r="P219" t="s">
        <v>32</v>
      </c>
      <c r="Q219" t="s">
        <v>48</v>
      </c>
      <c r="R219">
        <v>81.5</v>
      </c>
      <c r="S219">
        <v>31.47</v>
      </c>
      <c r="T219" t="s">
        <v>27</v>
      </c>
      <c r="U219" t="s">
        <v>27</v>
      </c>
      <c r="V219" t="s">
        <v>29</v>
      </c>
      <c r="W219" t="s">
        <v>242</v>
      </c>
    </row>
    <row r="220" spans="1:23" x14ac:dyDescent="0.3">
      <c r="A220">
        <v>186</v>
      </c>
      <c r="B220" t="str">
        <f>HYPERLINK("https://imapinvasives.natureserve.org/imap/services/page/Presence/532694.html", "View")</f>
        <v>View</v>
      </c>
      <c r="C220">
        <v>532694</v>
      </c>
      <c r="D220">
        <v>532694</v>
      </c>
      <c r="E220" t="str">
        <f>HYPERLINK("http://imap3images.s3-website-us-east-1.amazonaws.com/532694/p/photourl1_2018_12_11_kayireton_hzpce5wt.jpg", "View")</f>
        <v>View</v>
      </c>
      <c r="F220" t="s">
        <v>140</v>
      </c>
      <c r="G220" t="s">
        <v>191</v>
      </c>
      <c r="H220">
        <v>54811</v>
      </c>
      <c r="I220" t="str">
        <f>HYPERLINK("https://www.inaturalist.org/taxa/54811-Rhamnus-cathartica", "View")</f>
        <v>View</v>
      </c>
      <c r="J220" t="s">
        <v>140</v>
      </c>
      <c r="K220" t="s">
        <v>141</v>
      </c>
      <c r="L220">
        <v>54811</v>
      </c>
      <c r="M220">
        <v>33.47</v>
      </c>
      <c r="N220">
        <v>56.72</v>
      </c>
      <c r="O220">
        <v>1</v>
      </c>
      <c r="P220" t="s">
        <v>25</v>
      </c>
      <c r="Q220" t="s">
        <v>48</v>
      </c>
      <c r="R220">
        <v>81.5</v>
      </c>
      <c r="S220">
        <v>31.47</v>
      </c>
      <c r="T220" t="s">
        <v>27</v>
      </c>
      <c r="U220" t="s">
        <v>28</v>
      </c>
      <c r="V220" t="s">
        <v>29</v>
      </c>
      <c r="W220" t="s">
        <v>242</v>
      </c>
    </row>
    <row r="221" spans="1:23" x14ac:dyDescent="0.3">
      <c r="A221">
        <v>187</v>
      </c>
      <c r="B221" t="str">
        <f>HYPERLINK("https://imapinvasives.natureserve.org/imap/services/page/Presence/1390115.html", "View")</f>
        <v>View</v>
      </c>
      <c r="C221">
        <v>1390115</v>
      </c>
      <c r="D221">
        <v>1408221</v>
      </c>
      <c r="E221" t="str">
        <f>HYPERLINK("http://imap3images.s3-website-us-east-1.amazonaws.com/1408221/p/imap_app_photo_1709304918235.jpg", "View")</f>
        <v>View</v>
      </c>
      <c r="F221" t="s">
        <v>140</v>
      </c>
      <c r="G221" t="s">
        <v>191</v>
      </c>
      <c r="H221">
        <v>54811</v>
      </c>
      <c r="I221" t="str">
        <f>HYPERLINK("https://www.inaturalist.org/taxa/54811-Rhamnus-cathartica", "View")</f>
        <v>View</v>
      </c>
      <c r="J221" t="s">
        <v>140</v>
      </c>
      <c r="K221" t="s">
        <v>141</v>
      </c>
      <c r="L221">
        <v>54811</v>
      </c>
      <c r="M221">
        <v>33.47</v>
      </c>
      <c r="N221">
        <v>67.56</v>
      </c>
      <c r="O221">
        <v>1</v>
      </c>
      <c r="P221" t="s">
        <v>25</v>
      </c>
      <c r="Q221" t="s">
        <v>48</v>
      </c>
      <c r="R221">
        <v>81.5</v>
      </c>
      <c r="S221">
        <v>31.47</v>
      </c>
      <c r="T221" t="s">
        <v>27</v>
      </c>
      <c r="U221" t="s">
        <v>28</v>
      </c>
      <c r="V221" t="s">
        <v>29</v>
      </c>
      <c r="W221" t="s">
        <v>242</v>
      </c>
    </row>
    <row r="222" spans="1:23" x14ac:dyDescent="0.3">
      <c r="A222">
        <v>189</v>
      </c>
      <c r="B222" t="str">
        <f>HYPERLINK("https://imapinvasives.natureserve.org/imap/services/page/Presence/515772.html", "View")</f>
        <v>View</v>
      </c>
      <c r="C222">
        <v>515772</v>
      </c>
      <c r="D222">
        <v>515772</v>
      </c>
      <c r="E222" t="str">
        <f>HYPERLINK("http://imap3images.s3-website-us-east-1.amazonaws.com/515772/p/photourl1_2017_10_06_vivgarcia_cipycirh.jpg", "View")</f>
        <v>View</v>
      </c>
      <c r="F222" t="s">
        <v>140</v>
      </c>
      <c r="G222" t="s">
        <v>191</v>
      </c>
      <c r="H222">
        <v>54811</v>
      </c>
      <c r="I222" t="s">
        <v>33</v>
      </c>
      <c r="J222" t="s">
        <v>33</v>
      </c>
      <c r="K222" t="s">
        <v>33</v>
      </c>
      <c r="L222" t="s">
        <v>33</v>
      </c>
      <c r="M222" t="s">
        <v>33</v>
      </c>
      <c r="N222" t="s">
        <v>33</v>
      </c>
      <c r="O222">
        <v>0</v>
      </c>
      <c r="P222" t="s">
        <v>32</v>
      </c>
      <c r="Q222" t="s">
        <v>48</v>
      </c>
      <c r="R222">
        <v>81.5</v>
      </c>
      <c r="S222">
        <v>31.47</v>
      </c>
      <c r="T222" t="s">
        <v>27</v>
      </c>
      <c r="U222" t="s">
        <v>27</v>
      </c>
      <c r="V222" t="s">
        <v>29</v>
      </c>
      <c r="W222" t="s">
        <v>242</v>
      </c>
    </row>
    <row r="223" spans="1:23" x14ac:dyDescent="0.3">
      <c r="A223">
        <v>190</v>
      </c>
      <c r="B223" t="str">
        <f>HYPERLINK("https://imapinvasives.natureserve.org/imap/services/page/Presence/532685.html", "View")</f>
        <v>View</v>
      </c>
      <c r="C223">
        <v>532685</v>
      </c>
      <c r="D223">
        <v>532685</v>
      </c>
      <c r="E223" t="str">
        <f>HYPERLINK("http://imap3images.s3-website-us-east-1.amazonaws.com/532685/p/photourl1_2018_12_10_aarwhitchurch_iipfsnmt.jpg", "View")</f>
        <v>View</v>
      </c>
      <c r="F223" t="s">
        <v>140</v>
      </c>
      <c r="G223" t="s">
        <v>191</v>
      </c>
      <c r="H223">
        <v>54811</v>
      </c>
      <c r="I223" t="str">
        <f>HYPERLINK("https://www.inaturalist.org/taxa/54504-Juglans-nigra", "View")</f>
        <v>View</v>
      </c>
      <c r="J223" t="s">
        <v>198</v>
      </c>
      <c r="K223" t="s">
        <v>199</v>
      </c>
      <c r="L223">
        <v>54504</v>
      </c>
      <c r="M223">
        <v>21.56</v>
      </c>
      <c r="N223">
        <v>17.54</v>
      </c>
      <c r="O223">
        <v>0</v>
      </c>
      <c r="P223" t="s">
        <v>32</v>
      </c>
      <c r="Q223" t="s">
        <v>48</v>
      </c>
      <c r="R223">
        <v>81.5</v>
      </c>
      <c r="S223">
        <v>31.47</v>
      </c>
      <c r="T223" t="s">
        <v>27</v>
      </c>
      <c r="U223" t="s">
        <v>27</v>
      </c>
      <c r="V223" t="s">
        <v>29</v>
      </c>
      <c r="W223" t="s">
        <v>242</v>
      </c>
    </row>
    <row r="224" spans="1:23" x14ac:dyDescent="0.3">
      <c r="A224">
        <v>191</v>
      </c>
      <c r="B224" t="str">
        <f>HYPERLINK("https://imapinvasives.natureserve.org/imap/services/page/Presence/1394815.html", "View")</f>
        <v>View</v>
      </c>
      <c r="C224">
        <v>1394815</v>
      </c>
      <c r="D224">
        <v>1413159</v>
      </c>
      <c r="E224" t="str">
        <f>HYPERLINK("http://imap3images.s3-website-us-east-1.amazonaws.com/1413159/p/imap_app_photo_1714046772595.jpg", "View")</f>
        <v>View</v>
      </c>
      <c r="F224" t="s">
        <v>140</v>
      </c>
      <c r="G224" t="s">
        <v>191</v>
      </c>
      <c r="H224">
        <v>54811</v>
      </c>
      <c r="I224" t="s">
        <v>33</v>
      </c>
      <c r="J224" t="s">
        <v>33</v>
      </c>
      <c r="K224" t="s">
        <v>33</v>
      </c>
      <c r="L224" t="s">
        <v>33</v>
      </c>
      <c r="M224" t="s">
        <v>33</v>
      </c>
      <c r="N224" t="s">
        <v>33</v>
      </c>
      <c r="O224">
        <v>0</v>
      </c>
      <c r="P224" t="s">
        <v>32</v>
      </c>
      <c r="Q224" t="s">
        <v>48</v>
      </c>
      <c r="R224">
        <v>81.5</v>
      </c>
      <c r="S224">
        <v>31.47</v>
      </c>
      <c r="T224" t="s">
        <v>27</v>
      </c>
      <c r="U224" t="s">
        <v>27</v>
      </c>
      <c r="V224" t="s">
        <v>29</v>
      </c>
      <c r="W224" t="s">
        <v>242</v>
      </c>
    </row>
    <row r="225" spans="1:25" x14ac:dyDescent="0.3">
      <c r="A225">
        <v>192</v>
      </c>
      <c r="B225" t="str">
        <f>HYPERLINK("https://imapinvasives.natureserve.org/imap/services/page/Presence/1322671.html", "View")</f>
        <v>View</v>
      </c>
      <c r="C225">
        <v>1322671</v>
      </c>
      <c r="D225">
        <v>1334805</v>
      </c>
      <c r="E225" t="str">
        <f>HYPERLINK("http://imap3images.s3-website-us-east-1.amazonaws.com/1334805/p/imap_app_photo_1677517109812.jpg", "View")</f>
        <v>View</v>
      </c>
      <c r="F225" t="s">
        <v>140</v>
      </c>
      <c r="G225" t="s">
        <v>191</v>
      </c>
      <c r="H225">
        <v>54811</v>
      </c>
      <c r="I225" t="str">
        <f>HYPERLINK("https://www.inaturalist.org/taxa/54811-Rhamnus-cathartica", "View")</f>
        <v>View</v>
      </c>
      <c r="J225" t="s">
        <v>140</v>
      </c>
      <c r="K225" t="s">
        <v>141</v>
      </c>
      <c r="L225">
        <v>54811</v>
      </c>
      <c r="M225">
        <v>33.47</v>
      </c>
      <c r="N225">
        <v>80.42</v>
      </c>
      <c r="O225">
        <v>1</v>
      </c>
      <c r="P225" t="s">
        <v>25</v>
      </c>
      <c r="Q225" t="s">
        <v>48</v>
      </c>
      <c r="R225">
        <v>81.5</v>
      </c>
      <c r="S225">
        <v>31.47</v>
      </c>
      <c r="T225" t="s">
        <v>27</v>
      </c>
      <c r="U225" t="s">
        <v>28</v>
      </c>
      <c r="V225" t="s">
        <v>29</v>
      </c>
      <c r="W225" t="s">
        <v>242</v>
      </c>
    </row>
    <row r="226" spans="1:25" x14ac:dyDescent="0.3">
      <c r="A226">
        <v>194</v>
      </c>
      <c r="B226" t="str">
        <f>HYPERLINK("https://imapinvasives.natureserve.org/imap/services/page/Presence/1435186.html", "View")</f>
        <v>View</v>
      </c>
      <c r="C226">
        <v>1435186</v>
      </c>
      <c r="D226">
        <v>1448881</v>
      </c>
      <c r="E226" t="str">
        <f>HYPERLINK("http://imap3images.s3-website-us-east-1.amazonaws.com/1448881/p/imap_app_photo_1721306287615.jpg", "View")</f>
        <v>View</v>
      </c>
      <c r="F226" t="s">
        <v>140</v>
      </c>
      <c r="G226" t="s">
        <v>191</v>
      </c>
      <c r="H226">
        <v>54811</v>
      </c>
      <c r="I226" t="str">
        <f>HYPERLINK("https://www.inaturalist.org/taxa/119936-Vitis-riparia", "View")</f>
        <v>View</v>
      </c>
      <c r="J226" t="s">
        <v>200</v>
      </c>
      <c r="K226" t="s">
        <v>201</v>
      </c>
      <c r="L226">
        <v>119936</v>
      </c>
      <c r="M226">
        <v>11.92</v>
      </c>
      <c r="N226">
        <v>24.44</v>
      </c>
      <c r="O226">
        <v>0</v>
      </c>
      <c r="P226" t="s">
        <v>32</v>
      </c>
      <c r="Q226" t="s">
        <v>48</v>
      </c>
      <c r="R226">
        <v>81.5</v>
      </c>
      <c r="S226">
        <v>31.47</v>
      </c>
      <c r="T226" t="s">
        <v>27</v>
      </c>
      <c r="U226" t="s">
        <v>27</v>
      </c>
      <c r="V226" t="s">
        <v>29</v>
      </c>
      <c r="W226" t="s">
        <v>242</v>
      </c>
    </row>
    <row r="227" spans="1:25" x14ac:dyDescent="0.3">
      <c r="A227">
        <v>197</v>
      </c>
      <c r="B227" t="str">
        <f>HYPERLINK("https://imapinvasives.natureserve.org/imap/services/page/Presence/1279898.html", "View")</f>
        <v>View</v>
      </c>
      <c r="C227">
        <v>1279898</v>
      </c>
      <c r="D227">
        <v>1289264</v>
      </c>
      <c r="E227" t="str">
        <f>HYPERLINK("http://imap3images.s3-website-us-east-1.amazonaws.com/1289264/p/imap_app_photo_1656261058981.jpg", "View")</f>
        <v>View</v>
      </c>
      <c r="F227" t="s">
        <v>140</v>
      </c>
      <c r="G227" t="s">
        <v>191</v>
      </c>
      <c r="H227">
        <v>54811</v>
      </c>
      <c r="I227" t="s">
        <v>33</v>
      </c>
      <c r="J227" t="s">
        <v>33</v>
      </c>
      <c r="K227" t="s">
        <v>33</v>
      </c>
      <c r="L227" t="s">
        <v>33</v>
      </c>
      <c r="M227" t="s">
        <v>33</v>
      </c>
      <c r="N227" t="s">
        <v>33</v>
      </c>
      <c r="O227">
        <v>0</v>
      </c>
      <c r="P227" t="s">
        <v>32</v>
      </c>
      <c r="Q227" t="s">
        <v>48</v>
      </c>
      <c r="R227">
        <v>81.5</v>
      </c>
      <c r="S227">
        <v>31.47</v>
      </c>
      <c r="T227" t="s">
        <v>27</v>
      </c>
      <c r="U227" t="s">
        <v>27</v>
      </c>
      <c r="V227" t="s">
        <v>29</v>
      </c>
      <c r="W227" t="s">
        <v>242</v>
      </c>
    </row>
    <row r="228" spans="1:25" x14ac:dyDescent="0.3">
      <c r="A228">
        <v>198</v>
      </c>
      <c r="B228" t="str">
        <f>HYPERLINK("https://imapinvasives.natureserve.org/imap/services/page/Presence/532935.html", "View")</f>
        <v>View</v>
      </c>
      <c r="C228">
        <v>532935</v>
      </c>
      <c r="D228">
        <v>532935</v>
      </c>
      <c r="E228" t="str">
        <f>HYPERLINK("http://imap3images.s3-website-us-east-1.amazonaws.com/532935/p/photourl1_2019_02_13_thocalandro_rp09pey7.jpg", "View")</f>
        <v>View</v>
      </c>
      <c r="F228" t="s">
        <v>140</v>
      </c>
      <c r="G228" t="s">
        <v>191</v>
      </c>
      <c r="H228">
        <v>54811</v>
      </c>
      <c r="I228" t="str">
        <f>HYPERLINK("https://www.inaturalist.org/taxa/54861-Ulmus-thomasii", "View")</f>
        <v>View</v>
      </c>
      <c r="J228" t="s">
        <v>202</v>
      </c>
      <c r="K228" t="s">
        <v>203</v>
      </c>
      <c r="L228">
        <v>54861</v>
      </c>
      <c r="M228">
        <v>1.46</v>
      </c>
      <c r="N228">
        <v>14.85</v>
      </c>
      <c r="O228">
        <v>0</v>
      </c>
      <c r="P228" t="s">
        <v>32</v>
      </c>
      <c r="Q228" t="s">
        <v>48</v>
      </c>
      <c r="R228">
        <v>81.5</v>
      </c>
      <c r="S228">
        <v>31.47</v>
      </c>
      <c r="T228" t="s">
        <v>27</v>
      </c>
      <c r="U228" t="s">
        <v>27</v>
      </c>
      <c r="V228" t="s">
        <v>29</v>
      </c>
      <c r="W228" t="s">
        <v>242</v>
      </c>
    </row>
    <row r="229" spans="1:25" x14ac:dyDescent="0.3">
      <c r="A229">
        <v>199</v>
      </c>
      <c r="B229" t="str">
        <f>HYPERLINK("https://imapinvasives.natureserve.org/imap/services/page/Presence/532692.html", "View")</f>
        <v>View</v>
      </c>
      <c r="C229">
        <v>532692</v>
      </c>
      <c r="D229">
        <v>532692</v>
      </c>
      <c r="E229" t="str">
        <f>HYPERLINK("http://imap3images.s3-website-us-east-1.amazonaws.com/532692/p/photourl1_2018_12_11_auslaforce_v25iicug.jpg", "View")</f>
        <v>View</v>
      </c>
      <c r="F229" t="s">
        <v>140</v>
      </c>
      <c r="G229" t="s">
        <v>191</v>
      </c>
      <c r="H229">
        <v>54811</v>
      </c>
      <c r="I229" t="str">
        <f>HYPERLINK("https://www.inaturalist.org/taxa/54840-Populus-tremuloides", "View")</f>
        <v>View</v>
      </c>
      <c r="J229" t="s">
        <v>204</v>
      </c>
      <c r="K229" t="s">
        <v>205</v>
      </c>
      <c r="L229">
        <v>54840</v>
      </c>
      <c r="M229">
        <v>23.87</v>
      </c>
      <c r="N229">
        <v>14.24</v>
      </c>
      <c r="O229">
        <v>0</v>
      </c>
      <c r="P229" t="s">
        <v>32</v>
      </c>
      <c r="Q229" t="s">
        <v>48</v>
      </c>
      <c r="R229">
        <v>81.5</v>
      </c>
      <c r="S229">
        <v>31.47</v>
      </c>
      <c r="T229" t="s">
        <v>27</v>
      </c>
      <c r="U229" t="s">
        <v>27</v>
      </c>
      <c r="V229" t="s">
        <v>29</v>
      </c>
      <c r="W229" t="s">
        <v>242</v>
      </c>
    </row>
    <row r="230" spans="1:25" x14ac:dyDescent="0.3">
      <c r="A230">
        <v>200</v>
      </c>
      <c r="B230" t="str">
        <f>HYPERLINK("https://imapinvasives.natureserve.org/imap/services/page/Presence/533421.html", "View")</f>
        <v>View</v>
      </c>
      <c r="C230">
        <v>533421</v>
      </c>
      <c r="D230">
        <v>533421</v>
      </c>
      <c r="E230" t="str">
        <f>HYPERLINK("http://imap3images.s3-website-us-east-1.amazonaws.com/533421/p/photourl1_2019_02_20_chrbolt_le57kauo.jpg", "View")</f>
        <v>View</v>
      </c>
      <c r="F230" t="s">
        <v>140</v>
      </c>
      <c r="G230" t="s">
        <v>191</v>
      </c>
      <c r="H230">
        <v>54811</v>
      </c>
      <c r="I230" t="str">
        <f>HYPERLINK("https://www.inaturalist.org/taxa/54811-Rhamnus-cathartica", "View")</f>
        <v>View</v>
      </c>
      <c r="J230" t="s">
        <v>140</v>
      </c>
      <c r="K230" t="s">
        <v>141</v>
      </c>
      <c r="L230">
        <v>54811</v>
      </c>
      <c r="M230">
        <v>42.32</v>
      </c>
      <c r="N230">
        <v>59.22</v>
      </c>
      <c r="O230">
        <v>1</v>
      </c>
      <c r="P230" t="s">
        <v>25</v>
      </c>
      <c r="Q230" t="s">
        <v>48</v>
      </c>
      <c r="R230">
        <v>81.5</v>
      </c>
      <c r="S230">
        <v>31.47</v>
      </c>
      <c r="T230" t="s">
        <v>27</v>
      </c>
      <c r="U230" t="s">
        <v>28</v>
      </c>
      <c r="V230" t="s">
        <v>29</v>
      </c>
      <c r="W230" t="s">
        <v>242</v>
      </c>
    </row>
    <row r="231" spans="1:25" x14ac:dyDescent="0.3">
      <c r="A231">
        <v>202</v>
      </c>
      <c r="B231" t="str">
        <f>HYPERLINK("https://imapinvasives.natureserve.org/imap/services/page/Presence/1332996.html", "View")</f>
        <v>View</v>
      </c>
      <c r="C231">
        <v>1332996</v>
      </c>
      <c r="D231">
        <v>1347070</v>
      </c>
      <c r="E231" t="str">
        <f>HYPERLINK("http://imap3images.s3-website-us-east-1.amazonaws.com/1347070/p/Photo2-20230526-193403.jpg", "View")</f>
        <v>View</v>
      </c>
      <c r="F231" t="s">
        <v>45</v>
      </c>
      <c r="G231" t="s">
        <v>46</v>
      </c>
      <c r="H231">
        <v>56061</v>
      </c>
      <c r="I231" t="str">
        <f>HYPERLINK("https://www.inaturalist.org/taxa/55830-Glechoma-hederacea", "View")</f>
        <v>View</v>
      </c>
      <c r="J231" t="s">
        <v>76</v>
      </c>
      <c r="K231" t="s">
        <v>77</v>
      </c>
      <c r="L231">
        <v>55830</v>
      </c>
      <c r="M231">
        <v>38.130000000000003</v>
      </c>
      <c r="N231">
        <v>56.5</v>
      </c>
      <c r="O231">
        <v>0</v>
      </c>
      <c r="P231" t="s">
        <v>32</v>
      </c>
      <c r="Q231" t="s">
        <v>48</v>
      </c>
      <c r="R231">
        <v>88.91</v>
      </c>
      <c r="S231">
        <v>39.89</v>
      </c>
      <c r="T231" t="s">
        <v>27</v>
      </c>
      <c r="U231" t="s">
        <v>27</v>
      </c>
      <c r="V231" t="s">
        <v>29</v>
      </c>
      <c r="W231" t="s">
        <v>241</v>
      </c>
    </row>
    <row r="232" spans="1:25" x14ac:dyDescent="0.3">
      <c r="A232">
        <v>202</v>
      </c>
      <c r="B232" t="str">
        <f>HYPERLINK("https://imapinvasives.natureserve.org/imap/services/page/Presence/1332996.html", "View")</f>
        <v>View</v>
      </c>
      <c r="C232">
        <v>1332996</v>
      </c>
      <c r="D232">
        <v>1347067</v>
      </c>
      <c r="E232" t="str">
        <f>HYPERLINK("http://imap3images.s3-website-us-east-1.amazonaws.com/1347067/p/Photo3-20230526-193902.jpg", "View")</f>
        <v>View</v>
      </c>
      <c r="F232" t="s">
        <v>206</v>
      </c>
      <c r="G232" t="s">
        <v>207</v>
      </c>
      <c r="H232">
        <v>61291</v>
      </c>
      <c r="I232" t="str">
        <f>HYPERLINK("https://www.inaturalist.org/taxa/632667-Vincetoxicum-rossicum", "View")</f>
        <v>View</v>
      </c>
      <c r="J232" t="s">
        <v>208</v>
      </c>
      <c r="K232" t="s">
        <v>209</v>
      </c>
      <c r="L232">
        <v>632667</v>
      </c>
      <c r="M232">
        <v>28.49</v>
      </c>
      <c r="N232">
        <v>91.68</v>
      </c>
      <c r="O232">
        <v>0</v>
      </c>
      <c r="P232" t="s">
        <v>32</v>
      </c>
      <c r="Q232" t="s">
        <v>65</v>
      </c>
      <c r="R232">
        <v>77.62</v>
      </c>
      <c r="S232">
        <v>36.5</v>
      </c>
      <c r="T232" t="s">
        <v>28</v>
      </c>
      <c r="U232" t="s">
        <v>27</v>
      </c>
      <c r="V232" t="s">
        <v>29</v>
      </c>
      <c r="W232" t="s">
        <v>242</v>
      </c>
    </row>
    <row r="233" spans="1:25" x14ac:dyDescent="0.3">
      <c r="A233">
        <v>202</v>
      </c>
      <c r="B233" t="str">
        <f>HYPERLINK("https://imapinvasives.natureserve.org/imap/services/page/Presence/1332996.html", "View")</f>
        <v>View</v>
      </c>
      <c r="C233">
        <v>1332996</v>
      </c>
      <c r="D233">
        <v>1347069</v>
      </c>
      <c r="E233" t="str">
        <f>HYPERLINK("http://imap3images.s3-website-us-east-1.amazonaws.com/1347069/p/Photo3-20230603-195202.jpg", "View")</f>
        <v>View</v>
      </c>
      <c r="F233" t="s">
        <v>89</v>
      </c>
      <c r="G233" t="s">
        <v>90</v>
      </c>
      <c r="H233">
        <v>78882</v>
      </c>
      <c r="I233" t="str">
        <f>HYPERLINK("https://www.inaturalist.org/taxa/56088-Robinia-pseudoacacia", "View")</f>
        <v>View</v>
      </c>
      <c r="J233" t="s">
        <v>210</v>
      </c>
      <c r="K233" t="s">
        <v>211</v>
      </c>
      <c r="L233">
        <v>56088</v>
      </c>
      <c r="M233">
        <v>31.2</v>
      </c>
      <c r="N233">
        <v>23.44</v>
      </c>
      <c r="O233">
        <v>0</v>
      </c>
      <c r="P233" t="s">
        <v>32</v>
      </c>
      <c r="Q233" t="s">
        <v>48</v>
      </c>
      <c r="R233">
        <v>74.05</v>
      </c>
      <c r="S233">
        <v>41.31</v>
      </c>
      <c r="T233" t="s">
        <v>27</v>
      </c>
      <c r="U233" t="s">
        <v>27</v>
      </c>
      <c r="V233" t="s">
        <v>29</v>
      </c>
      <c r="W233" t="s">
        <v>242</v>
      </c>
    </row>
    <row r="234" spans="1:25" x14ac:dyDescent="0.3">
      <c r="A234">
        <v>203</v>
      </c>
      <c r="B234" t="str">
        <f>HYPERLINK("https://imapinvasives.natureserve.org/imap/services/page/Presence/533099.html", "View")</f>
        <v>View</v>
      </c>
      <c r="C234">
        <v>533099</v>
      </c>
      <c r="D234">
        <v>533099</v>
      </c>
      <c r="E234" t="str">
        <f>HYPERLINK("http://imap3images.s3-website-us-east-1.amazonaws.com/533099/p/photourl1_2019_02_13_kalburgess_b7crlupo.jpg", "View")</f>
        <v>View</v>
      </c>
      <c r="F234" t="s">
        <v>140</v>
      </c>
      <c r="G234" t="s">
        <v>191</v>
      </c>
      <c r="H234">
        <v>54811</v>
      </c>
      <c r="I234" t="str">
        <f>HYPERLINK("https://www.inaturalist.org/taxa/49882-Betula-alleghaniensis", "View")</f>
        <v>View</v>
      </c>
      <c r="J234" t="s">
        <v>212</v>
      </c>
      <c r="K234" t="s">
        <v>213</v>
      </c>
      <c r="L234">
        <v>49882</v>
      </c>
      <c r="M234">
        <v>20.74</v>
      </c>
      <c r="N234">
        <v>7.34</v>
      </c>
      <c r="O234">
        <v>0</v>
      </c>
      <c r="P234" t="s">
        <v>32</v>
      </c>
      <c r="Q234" t="s">
        <v>48</v>
      </c>
      <c r="R234">
        <v>81.5</v>
      </c>
      <c r="S234">
        <v>31.47</v>
      </c>
      <c r="T234" t="s">
        <v>27</v>
      </c>
      <c r="U234" t="s">
        <v>27</v>
      </c>
      <c r="V234" t="s">
        <v>29</v>
      </c>
      <c r="W234" t="s">
        <v>242</v>
      </c>
    </row>
    <row r="235" spans="1:25" x14ac:dyDescent="0.3">
      <c r="A235">
        <v>204</v>
      </c>
      <c r="B235" t="str">
        <f>HYPERLINK("https://imapinvasives.natureserve.org/imap/services/page/Presence/532677.html", "View")</f>
        <v>View</v>
      </c>
      <c r="C235">
        <v>532677</v>
      </c>
      <c r="D235">
        <v>532677</v>
      </c>
      <c r="E235" t="str">
        <f>HYPERLINK("http://imap3images.s3-website-us-east-1.amazonaws.com/532677/p/photourl1_2018_12_10_madcurrier_6u4ybsbq.jpg", "View")</f>
        <v>View</v>
      </c>
      <c r="F235" t="s">
        <v>140</v>
      </c>
      <c r="G235" t="s">
        <v>191</v>
      </c>
      <c r="H235">
        <v>54811</v>
      </c>
      <c r="I235" t="str">
        <f>HYPERLINK("https://www.inaturalist.org/taxa/1577641-Betula-davurica", "View")</f>
        <v>View</v>
      </c>
      <c r="J235" t="s">
        <v>214</v>
      </c>
      <c r="K235" t="s">
        <v>215</v>
      </c>
      <c r="L235">
        <v>1577641</v>
      </c>
      <c r="M235">
        <v>0</v>
      </c>
      <c r="N235">
        <v>50.39</v>
      </c>
      <c r="O235">
        <v>0</v>
      </c>
      <c r="P235" t="s">
        <v>32</v>
      </c>
      <c r="Q235" t="s">
        <v>48</v>
      </c>
      <c r="R235">
        <v>81.5</v>
      </c>
      <c r="S235">
        <v>31.47</v>
      </c>
      <c r="T235" t="s">
        <v>27</v>
      </c>
      <c r="U235" t="s">
        <v>27</v>
      </c>
      <c r="V235" t="s">
        <v>29</v>
      </c>
      <c r="W235" t="s">
        <v>242</v>
      </c>
    </row>
    <row r="236" spans="1:25" x14ac:dyDescent="0.3">
      <c r="A236">
        <v>205</v>
      </c>
      <c r="B236" t="str">
        <f>HYPERLINK("https://imapinvasives.natureserve.org/imap/services/page/Presence/532335.html", "View")</f>
        <v>View</v>
      </c>
      <c r="C236">
        <v>532335</v>
      </c>
      <c r="D236">
        <v>532335</v>
      </c>
      <c r="E236" t="str">
        <f>HYPERLINK("http://imap3images.s3-website-us-east-1.amazonaws.com/532335/p/photourl1_2018_10_18_emithiel_prq2z94m.jpg", "View")</f>
        <v>View</v>
      </c>
      <c r="F236" t="s">
        <v>140</v>
      </c>
      <c r="G236" t="s">
        <v>191</v>
      </c>
      <c r="H236">
        <v>54811</v>
      </c>
      <c r="I236" t="str">
        <f>HYPERLINK("https://www.inaturalist.org/taxa/54835-Prunus-virginiana", "View")</f>
        <v>View</v>
      </c>
      <c r="J236" t="s">
        <v>216</v>
      </c>
      <c r="K236" t="s">
        <v>217</v>
      </c>
      <c r="L236">
        <v>54835</v>
      </c>
      <c r="M236">
        <v>22.47</v>
      </c>
      <c r="N236">
        <v>93.85</v>
      </c>
      <c r="O236">
        <v>0</v>
      </c>
      <c r="P236" t="s">
        <v>32</v>
      </c>
      <c r="Q236" t="s">
        <v>48</v>
      </c>
      <c r="R236">
        <v>81.5</v>
      </c>
      <c r="S236">
        <v>31.47</v>
      </c>
      <c r="T236" t="s">
        <v>28</v>
      </c>
      <c r="U236" t="s">
        <v>27</v>
      </c>
      <c r="V236" t="s">
        <v>29</v>
      </c>
      <c r="W236" t="s">
        <v>241</v>
      </c>
    </row>
    <row r="237" spans="1:25" x14ac:dyDescent="0.3">
      <c r="A237">
        <v>206</v>
      </c>
      <c r="B237" t="str">
        <f>HYPERLINK("https://imapinvasives.natureserve.org/imap/services/page/Presence/532949.html", "View")</f>
        <v>View</v>
      </c>
      <c r="C237">
        <v>532949</v>
      </c>
      <c r="D237">
        <v>532949</v>
      </c>
      <c r="E237" t="str">
        <f>HYPERLINK("http://imap3images.s3-website-us-east-1.amazonaws.com/532949/p/photourl1_2019_02_06_thocalandro_lz0atlxr.jpg", "View")</f>
        <v>View</v>
      </c>
      <c r="F237" t="s">
        <v>140</v>
      </c>
      <c r="G237" t="s">
        <v>191</v>
      </c>
      <c r="H237">
        <v>54811</v>
      </c>
      <c r="I237" t="str">
        <f>HYPERLINK("https://www.inaturalist.org/taxa/17855-Dryocopus-pileatus", "View")</f>
        <v>View</v>
      </c>
      <c r="J237" t="s">
        <v>218</v>
      </c>
      <c r="K237" t="s">
        <v>219</v>
      </c>
      <c r="L237">
        <v>17855</v>
      </c>
      <c r="M237">
        <v>20.85</v>
      </c>
      <c r="N237">
        <v>42.62</v>
      </c>
      <c r="O237">
        <v>0</v>
      </c>
      <c r="P237" t="s">
        <v>32</v>
      </c>
      <c r="Q237" t="s">
        <v>48</v>
      </c>
      <c r="R237">
        <v>81.5</v>
      </c>
      <c r="S237">
        <v>31.47</v>
      </c>
      <c r="T237" t="s">
        <v>27</v>
      </c>
      <c r="U237" t="s">
        <v>27</v>
      </c>
      <c r="V237" t="s">
        <v>29</v>
      </c>
      <c r="W237" t="s">
        <v>242</v>
      </c>
    </row>
    <row r="238" spans="1:25" x14ac:dyDescent="0.3">
      <c r="A238">
        <v>207</v>
      </c>
      <c r="B238" t="str">
        <f>HYPERLINK("https://imapinvasives.natureserve.org/imap/services/page/Presence/532688.html", "View")</f>
        <v>View</v>
      </c>
      <c r="C238">
        <v>532688</v>
      </c>
      <c r="D238">
        <v>532688</v>
      </c>
      <c r="E238" t="str">
        <f>HYPERLINK("http://imap3images.s3-website-us-east-1.amazonaws.com/532688/p/photourl1_2018_12_10_josstokes_pjj5hfi1.jpg", "View")</f>
        <v>View</v>
      </c>
      <c r="F238" t="s">
        <v>140</v>
      </c>
      <c r="G238" t="s">
        <v>191</v>
      </c>
      <c r="H238">
        <v>54811</v>
      </c>
      <c r="I238" t="str">
        <f>HYPERLINK("https://www.inaturalist.org/taxa/48734-Tsuga-canadensis", "View")</f>
        <v>View</v>
      </c>
      <c r="J238" t="s">
        <v>30</v>
      </c>
      <c r="K238" t="s">
        <v>31</v>
      </c>
      <c r="L238">
        <v>48734</v>
      </c>
      <c r="M238">
        <v>33.159999999999997</v>
      </c>
      <c r="N238">
        <v>5.38</v>
      </c>
      <c r="O238">
        <v>0</v>
      </c>
      <c r="P238" t="s">
        <v>32</v>
      </c>
      <c r="Q238" t="s">
        <v>48</v>
      </c>
      <c r="R238">
        <v>81.5</v>
      </c>
      <c r="S238">
        <v>31.47</v>
      </c>
      <c r="T238" t="s">
        <v>27</v>
      </c>
      <c r="U238" t="s">
        <v>28</v>
      </c>
      <c r="V238" t="s">
        <v>29</v>
      </c>
      <c r="W238" t="s">
        <v>242</v>
      </c>
    </row>
    <row r="239" spans="1:25" x14ac:dyDescent="0.3">
      <c r="A239">
        <v>209</v>
      </c>
      <c r="B239" t="str">
        <f>HYPERLINK("https://imapinvasives.natureserve.org/imap/services/page/Presence/1146667.html", "View")</f>
        <v>View</v>
      </c>
      <c r="C239">
        <v>1146667</v>
      </c>
      <c r="D239">
        <v>1153322</v>
      </c>
      <c r="E239" t="str">
        <f>HYPERLINK("http://imap3images.s3-website-us-east-1.amazonaws.com/1153322/p/imap_app_photo_1624402063882.jpg", "View")</f>
        <v>View</v>
      </c>
      <c r="F239" t="s">
        <v>140</v>
      </c>
      <c r="G239" t="s">
        <v>191</v>
      </c>
      <c r="H239">
        <v>54811</v>
      </c>
      <c r="I239" t="str">
        <f>HYPERLINK("https://www.inaturalist.org/taxa/54775-Cornus-alternifolia", "View")</f>
        <v>View</v>
      </c>
      <c r="J239" t="s">
        <v>220</v>
      </c>
      <c r="K239" t="s">
        <v>221</v>
      </c>
      <c r="L239">
        <v>54775</v>
      </c>
      <c r="M239">
        <v>8.81</v>
      </c>
      <c r="N239">
        <v>97.54</v>
      </c>
      <c r="O239">
        <v>0</v>
      </c>
      <c r="P239" t="s">
        <v>32</v>
      </c>
      <c r="Q239" t="s">
        <v>48</v>
      </c>
      <c r="R239">
        <v>81.5</v>
      </c>
      <c r="S239">
        <v>31.47</v>
      </c>
      <c r="T239" t="s">
        <v>28</v>
      </c>
      <c r="U239" t="s">
        <v>27</v>
      </c>
      <c r="V239" t="s">
        <v>29</v>
      </c>
      <c r="W239" t="s">
        <v>242</v>
      </c>
      <c r="Y239" t="s">
        <v>245</v>
      </c>
    </row>
    <row r="240" spans="1:25" x14ac:dyDescent="0.3">
      <c r="A240">
        <v>211</v>
      </c>
      <c r="B240" t="str">
        <f>HYPERLINK("https://imapinvasives.natureserve.org/imap/services/page/Presence/1048587.html", "View")</f>
        <v>View</v>
      </c>
      <c r="C240">
        <v>1048587</v>
      </c>
      <c r="D240">
        <v>1052605</v>
      </c>
      <c r="E240" t="str">
        <f>HYPERLINK("http://imap3images.s3-website-us-east-1.amazonaws.com/1052605/p/imap_app_photo_1591563208366.jpg", "View")</f>
        <v>View</v>
      </c>
      <c r="F240" t="s">
        <v>89</v>
      </c>
      <c r="G240" t="s">
        <v>90</v>
      </c>
      <c r="H240">
        <v>78882</v>
      </c>
      <c r="I240" t="str">
        <f>HYPERLINK("https://www.inaturalist.org/taxa/204160-Ligustrum-obtusifolium", "View")</f>
        <v>View</v>
      </c>
      <c r="J240" t="s">
        <v>132</v>
      </c>
      <c r="K240" t="s">
        <v>133</v>
      </c>
      <c r="L240">
        <v>204160</v>
      </c>
      <c r="M240">
        <v>72.260000000000005</v>
      </c>
      <c r="N240">
        <v>11.92</v>
      </c>
      <c r="O240">
        <v>0</v>
      </c>
      <c r="P240" t="s">
        <v>32</v>
      </c>
      <c r="Q240" t="s">
        <v>48</v>
      </c>
      <c r="R240">
        <v>74.05</v>
      </c>
      <c r="S240">
        <v>41.31</v>
      </c>
      <c r="T240" t="s">
        <v>27</v>
      </c>
      <c r="U240" t="s">
        <v>28</v>
      </c>
      <c r="V240" t="s">
        <v>29</v>
      </c>
      <c r="W240" t="s">
        <v>242</v>
      </c>
    </row>
    <row r="241" spans="1:25" x14ac:dyDescent="0.3">
      <c r="A241">
        <v>212</v>
      </c>
      <c r="B241" t="str">
        <f>HYPERLINK("https://imapinvasives.natureserve.org/imap/services/page/Presence/1320854.html", "View")</f>
        <v>View</v>
      </c>
      <c r="C241">
        <v>1320854</v>
      </c>
      <c r="D241">
        <v>1332769</v>
      </c>
      <c r="E241" t="str">
        <f>HYPERLINK("http://imap3images.s3-website-us-east-1.amazonaws.com/1332769/p/imap_app_photo_1675371012821.jpg", "View")</f>
        <v>View</v>
      </c>
      <c r="F241" t="s">
        <v>89</v>
      </c>
      <c r="G241" t="s">
        <v>90</v>
      </c>
      <c r="H241">
        <v>78882</v>
      </c>
      <c r="I241" t="str">
        <f>HYPERLINK("https://www.inaturalist.org/taxa/453109-Pekania-pennanti", "View")</f>
        <v>View</v>
      </c>
      <c r="J241" t="s">
        <v>222</v>
      </c>
      <c r="K241" t="s">
        <v>223</v>
      </c>
      <c r="L241">
        <v>453109</v>
      </c>
      <c r="M241">
        <v>13.41</v>
      </c>
      <c r="N241">
        <v>25.46</v>
      </c>
      <c r="O241">
        <v>0</v>
      </c>
      <c r="P241" t="s">
        <v>32</v>
      </c>
      <c r="Q241" t="s">
        <v>48</v>
      </c>
      <c r="R241">
        <v>74.05</v>
      </c>
      <c r="S241">
        <v>41.31</v>
      </c>
      <c r="T241" t="s">
        <v>27</v>
      </c>
      <c r="U241" t="s">
        <v>27</v>
      </c>
      <c r="V241" t="s">
        <v>29</v>
      </c>
      <c r="W241" t="s">
        <v>242</v>
      </c>
    </row>
    <row r="242" spans="1:25" x14ac:dyDescent="0.3">
      <c r="A242">
        <v>213</v>
      </c>
      <c r="B242" t="str">
        <f>HYPERLINK("https://imapinvasives.natureserve.org/imap/services/page/Presence/1298829.html", "View")</f>
        <v>View</v>
      </c>
      <c r="C242">
        <v>1298829</v>
      </c>
      <c r="D242">
        <v>1309152</v>
      </c>
      <c r="E242" t="str">
        <f>HYPERLINK("http://imap3images.s3-website-us-east-1.amazonaws.com/1309152/p/imap_app_photo_1665777526622.jpg", "View")</f>
        <v>View</v>
      </c>
      <c r="F242" t="s">
        <v>89</v>
      </c>
      <c r="G242" t="s">
        <v>90</v>
      </c>
      <c r="H242">
        <v>78882</v>
      </c>
      <c r="I242" t="str">
        <f>HYPERLINK("https://www.inaturalist.org/taxa/64540-Celastrus-orbiculatus", "View")</f>
        <v>View</v>
      </c>
      <c r="J242" t="s">
        <v>104</v>
      </c>
      <c r="K242" t="s">
        <v>105</v>
      </c>
      <c r="L242">
        <v>64540</v>
      </c>
      <c r="M242">
        <v>11.08</v>
      </c>
      <c r="N242">
        <v>87.94</v>
      </c>
      <c r="O242">
        <v>0</v>
      </c>
      <c r="P242" t="s">
        <v>32</v>
      </c>
      <c r="Q242" t="s">
        <v>48</v>
      </c>
      <c r="R242">
        <v>74.05</v>
      </c>
      <c r="S242">
        <v>41.31</v>
      </c>
      <c r="T242" t="s">
        <v>28</v>
      </c>
      <c r="U242" t="s">
        <v>27</v>
      </c>
      <c r="V242" t="s">
        <v>29</v>
      </c>
      <c r="W242" t="s">
        <v>242</v>
      </c>
      <c r="Y242" t="s">
        <v>245</v>
      </c>
    </row>
    <row r="243" spans="1:25" x14ac:dyDescent="0.3">
      <c r="A243">
        <v>214</v>
      </c>
      <c r="B243" t="str">
        <f>HYPERLINK("https://imapinvasives.natureserve.org/imap/services/page/Presence/1181996.html", "View")</f>
        <v>View</v>
      </c>
      <c r="C243">
        <v>1181996</v>
      </c>
      <c r="D243">
        <v>1189884</v>
      </c>
      <c r="E243" t="str">
        <f>HYPERLINK("http://imap3images.s3-website-us-east-1.amazonaws.com/1189884/p/imap_app_photo_1637538394742.jpg", "View")</f>
        <v>View</v>
      </c>
      <c r="F243" t="s">
        <v>89</v>
      </c>
      <c r="G243" t="s">
        <v>90</v>
      </c>
      <c r="H243">
        <v>78882</v>
      </c>
      <c r="I243" t="str">
        <f>HYPERLINK("https://www.inaturalist.org/taxa/125489-Rubus-occidentalis", "View")</f>
        <v>View</v>
      </c>
      <c r="J243" t="s">
        <v>142</v>
      </c>
      <c r="K243" t="s">
        <v>143</v>
      </c>
      <c r="L243">
        <v>125489</v>
      </c>
      <c r="M243">
        <v>8.1199999999999992</v>
      </c>
      <c r="N243">
        <v>64.739999999999995</v>
      </c>
      <c r="O243">
        <v>0</v>
      </c>
      <c r="P243" t="s">
        <v>32</v>
      </c>
      <c r="Q243" t="s">
        <v>48</v>
      </c>
      <c r="R243">
        <v>74.05</v>
      </c>
      <c r="S243">
        <v>41.31</v>
      </c>
      <c r="T243" t="s">
        <v>27</v>
      </c>
      <c r="U243" t="s">
        <v>27</v>
      </c>
      <c r="V243" t="s">
        <v>29</v>
      </c>
      <c r="W243" t="s">
        <v>242</v>
      </c>
    </row>
    <row r="244" spans="1:25" x14ac:dyDescent="0.3">
      <c r="A244">
        <v>215</v>
      </c>
      <c r="B244" t="str">
        <f>HYPERLINK("https://imapinvasives.natureserve.org/imap/services/page/Presence/1332491.html", "View")</f>
        <v>View</v>
      </c>
      <c r="C244">
        <v>1332491</v>
      </c>
      <c r="D244">
        <v>1346366</v>
      </c>
      <c r="E244" t="str">
        <f>HYPERLINK("http://imap3images.s3-website-us-east-1.amazonaws.com/1346366/p/imap_app_photo_1685541220806.jpg", "View")</f>
        <v>View</v>
      </c>
      <c r="F244" t="s">
        <v>89</v>
      </c>
      <c r="G244" t="s">
        <v>90</v>
      </c>
      <c r="H244">
        <v>78882</v>
      </c>
      <c r="I244" t="str">
        <f>HYPERLINK("https://www.inaturalist.org/taxa/78882-Rosa-multiflora", "View")</f>
        <v>View</v>
      </c>
      <c r="J244" t="s">
        <v>89</v>
      </c>
      <c r="K244" t="s">
        <v>96</v>
      </c>
      <c r="L244">
        <v>78882</v>
      </c>
      <c r="M244">
        <v>68.010000000000005</v>
      </c>
      <c r="N244">
        <v>38.35</v>
      </c>
      <c r="O244">
        <v>1</v>
      </c>
      <c r="P244" t="s">
        <v>25</v>
      </c>
      <c r="Q244" t="s">
        <v>48</v>
      </c>
      <c r="R244">
        <v>74.05</v>
      </c>
      <c r="S244">
        <v>41.31</v>
      </c>
      <c r="T244" t="s">
        <v>27</v>
      </c>
      <c r="U244" t="s">
        <v>28</v>
      </c>
      <c r="V244" t="s">
        <v>29</v>
      </c>
      <c r="W244" t="s">
        <v>242</v>
      </c>
    </row>
    <row r="245" spans="1:25" x14ac:dyDescent="0.3">
      <c r="A245">
        <v>218</v>
      </c>
      <c r="B245" t="str">
        <f>HYPERLINK("https://imapinvasives.natureserve.org/imap/services/page/Presence/1438089.html", "View")</f>
        <v>View</v>
      </c>
      <c r="C245">
        <v>1438089</v>
      </c>
      <c r="D245">
        <v>1452332</v>
      </c>
      <c r="E245" t="str">
        <f>HYPERLINK("http://imap3images.s3-website-us-east-1.amazonaws.com/1452332/p/PXL_20240730_162307242.jpg", "View")</f>
        <v>View</v>
      </c>
      <c r="F245" t="s">
        <v>89</v>
      </c>
      <c r="G245" t="s">
        <v>90</v>
      </c>
      <c r="H245">
        <v>78882</v>
      </c>
      <c r="I245" t="str">
        <f>HYPERLINK("https://www.inaturalist.org/taxa/84270-Vaccinium-pallidum", "View")</f>
        <v>View</v>
      </c>
      <c r="J245" t="s">
        <v>224</v>
      </c>
      <c r="K245" t="s">
        <v>225</v>
      </c>
      <c r="L245">
        <v>84270</v>
      </c>
      <c r="M245">
        <v>2.19</v>
      </c>
      <c r="N245">
        <v>49.48</v>
      </c>
      <c r="O245">
        <v>0</v>
      </c>
      <c r="P245" t="s">
        <v>32</v>
      </c>
      <c r="Q245" t="s">
        <v>48</v>
      </c>
      <c r="R245">
        <v>74.05</v>
      </c>
      <c r="S245">
        <v>41.31</v>
      </c>
      <c r="T245" t="s">
        <v>27</v>
      </c>
      <c r="U245" t="s">
        <v>27</v>
      </c>
      <c r="V245" t="s">
        <v>29</v>
      </c>
      <c r="W245" t="s">
        <v>242</v>
      </c>
    </row>
    <row r="246" spans="1:25" x14ac:dyDescent="0.3">
      <c r="A246">
        <v>219</v>
      </c>
      <c r="B246" t="str">
        <f>HYPERLINK("https://imapinvasives.natureserve.org/imap/services/page/Presence/1438092.html", "View")</f>
        <v>View</v>
      </c>
      <c r="C246">
        <v>1438092</v>
      </c>
      <c r="D246">
        <v>1452335</v>
      </c>
      <c r="E246" t="str">
        <f>HYPERLINK("http://imap3images.s3-website-us-east-1.amazonaws.com/1452335/p/PXL_20240730_163453294.jpg", "View")</f>
        <v>View</v>
      </c>
      <c r="F246" t="s">
        <v>89</v>
      </c>
      <c r="G246" t="s">
        <v>90</v>
      </c>
      <c r="H246">
        <v>78882</v>
      </c>
      <c r="I246" t="str">
        <f>HYPERLINK("https://www.inaturalist.org/taxa/78882-Rosa-multiflora", "View")</f>
        <v>View</v>
      </c>
      <c r="J246" t="s">
        <v>89</v>
      </c>
      <c r="K246" t="s">
        <v>96</v>
      </c>
      <c r="L246">
        <v>78882</v>
      </c>
      <c r="M246">
        <v>27.88</v>
      </c>
      <c r="N246">
        <v>70.05</v>
      </c>
      <c r="O246">
        <v>1</v>
      </c>
      <c r="P246" t="s">
        <v>25</v>
      </c>
      <c r="Q246" t="s">
        <v>48</v>
      </c>
      <c r="R246">
        <v>74.05</v>
      </c>
      <c r="S246">
        <v>41.31</v>
      </c>
      <c r="T246" t="s">
        <v>27</v>
      </c>
      <c r="U246" t="s">
        <v>27</v>
      </c>
      <c r="V246" t="s">
        <v>29</v>
      </c>
      <c r="W246" t="s">
        <v>242</v>
      </c>
      <c r="Y246" t="s">
        <v>245</v>
      </c>
    </row>
    <row r="247" spans="1:25" x14ac:dyDescent="0.3">
      <c r="A247">
        <v>220</v>
      </c>
      <c r="B247" t="str">
        <f>HYPERLINK("https://imapinvasives.natureserve.org/imap/services/page/Presence/1273839.html", "View")</f>
        <v>View</v>
      </c>
      <c r="C247">
        <v>1273839</v>
      </c>
      <c r="D247">
        <v>1283041</v>
      </c>
      <c r="E247" t="str">
        <f>HYPERLINK("http://imap3images.s3-website-us-east-1.amazonaws.com/1283041/p/imap_app_photo_1654786644592.jpg", "View")</f>
        <v>View</v>
      </c>
      <c r="F247" t="s">
        <v>89</v>
      </c>
      <c r="G247" t="s">
        <v>90</v>
      </c>
      <c r="H247">
        <v>78882</v>
      </c>
      <c r="I247" t="str">
        <f>HYPERLINK("https://www.inaturalist.org/taxa/78882-Rosa-multiflora", "View")</f>
        <v>View</v>
      </c>
      <c r="J247" t="s">
        <v>89</v>
      </c>
      <c r="K247" t="s">
        <v>96</v>
      </c>
      <c r="L247">
        <v>78882</v>
      </c>
      <c r="M247">
        <v>68.010000000000005</v>
      </c>
      <c r="N247">
        <v>55.39</v>
      </c>
      <c r="O247">
        <v>1</v>
      </c>
      <c r="P247" t="s">
        <v>25</v>
      </c>
      <c r="Q247" t="s">
        <v>48</v>
      </c>
      <c r="R247">
        <v>74.05</v>
      </c>
      <c r="S247">
        <v>41.31</v>
      </c>
      <c r="T247" t="s">
        <v>27</v>
      </c>
      <c r="U247" t="s">
        <v>28</v>
      </c>
      <c r="V247" t="s">
        <v>29</v>
      </c>
      <c r="W247" t="s">
        <v>241</v>
      </c>
    </row>
    <row r="248" spans="1:25" x14ac:dyDescent="0.3">
      <c r="A248">
        <v>221</v>
      </c>
      <c r="B248" t="str">
        <f>HYPERLINK("https://imapinvasives.natureserve.org/imap/services/page/Presence/1046460.html", "View")</f>
        <v>View</v>
      </c>
      <c r="C248">
        <v>1046460</v>
      </c>
      <c r="D248">
        <v>1050375</v>
      </c>
      <c r="E248" t="str">
        <f>HYPERLINK("http://imap3images.s3-website-us-east-1.amazonaws.com/1050375/p/imap_app_photo_1589652877497.jpg", "View")</f>
        <v>View</v>
      </c>
      <c r="F248" t="s">
        <v>89</v>
      </c>
      <c r="G248" t="s">
        <v>90</v>
      </c>
      <c r="H248">
        <v>78882</v>
      </c>
      <c r="I248" t="str">
        <f>HYPERLINK("https://www.inaturalist.org/taxa/159829-Caragana-frutex", "View")</f>
        <v>View</v>
      </c>
      <c r="J248" t="s">
        <v>226</v>
      </c>
      <c r="K248" t="s">
        <v>227</v>
      </c>
      <c r="L248">
        <v>159829</v>
      </c>
      <c r="M248">
        <v>0.02</v>
      </c>
      <c r="N248">
        <v>5.4</v>
      </c>
      <c r="O248">
        <v>0</v>
      </c>
      <c r="P248" t="s">
        <v>32</v>
      </c>
      <c r="Q248" t="s">
        <v>48</v>
      </c>
      <c r="R248">
        <v>74.05</v>
      </c>
      <c r="S248">
        <v>41.31</v>
      </c>
      <c r="T248" t="s">
        <v>27</v>
      </c>
      <c r="U248" t="s">
        <v>27</v>
      </c>
      <c r="V248" t="s">
        <v>29</v>
      </c>
      <c r="W248" t="s">
        <v>242</v>
      </c>
    </row>
    <row r="249" spans="1:25" x14ac:dyDescent="0.3">
      <c r="A249">
        <v>222</v>
      </c>
      <c r="B249" t="str">
        <f>HYPERLINK("https://imapinvasives.natureserve.org/imap/services/page/Presence/1254095.html", "View")</f>
        <v>View</v>
      </c>
      <c r="C249">
        <v>1254095</v>
      </c>
      <c r="D249">
        <v>1262667</v>
      </c>
      <c r="E249" t="str">
        <f>HYPERLINK("http://imap3images.s3-website-us-east-1.amazonaws.com/1262667/p/imap_app_photo_1646257271238.jpg", "View")</f>
        <v>View</v>
      </c>
      <c r="F249" t="s">
        <v>89</v>
      </c>
      <c r="G249" t="s">
        <v>90</v>
      </c>
      <c r="H249">
        <v>78882</v>
      </c>
      <c r="I249" t="str">
        <f>HYPERLINK("https://www.inaturalist.org/taxa/78882-Rosa-multiflora", "View")</f>
        <v>View</v>
      </c>
      <c r="J249" t="s">
        <v>89</v>
      </c>
      <c r="K249" t="s">
        <v>96</v>
      </c>
      <c r="L249">
        <v>78882</v>
      </c>
      <c r="M249">
        <v>23.2</v>
      </c>
      <c r="N249">
        <v>38.25</v>
      </c>
      <c r="O249">
        <v>1</v>
      </c>
      <c r="P249" t="s">
        <v>25</v>
      </c>
      <c r="Q249" t="s">
        <v>48</v>
      </c>
      <c r="R249">
        <v>74.05</v>
      </c>
      <c r="S249">
        <v>41.31</v>
      </c>
      <c r="T249" t="s">
        <v>27</v>
      </c>
      <c r="U249" t="s">
        <v>27</v>
      </c>
      <c r="V249" t="s">
        <v>29</v>
      </c>
      <c r="W249" t="s">
        <v>242</v>
      </c>
    </row>
    <row r="250" spans="1:25" x14ac:dyDescent="0.3">
      <c r="A250">
        <v>223</v>
      </c>
      <c r="B250" t="str">
        <f>HYPERLINK("https://imapinvasives.natureserve.org/imap/services/page/Presence/1414500.html", "View")</f>
        <v>View</v>
      </c>
      <c r="C250">
        <v>1414500</v>
      </c>
      <c r="D250">
        <v>1428031</v>
      </c>
      <c r="E250" t="str">
        <f>HYPERLINK("http://imap3images.s3-website-us-east-1.amazonaws.com/1428031/p/imap_app_photo_1720025967681.jpg", "View")</f>
        <v>View</v>
      </c>
      <c r="F250" t="s">
        <v>89</v>
      </c>
      <c r="G250" t="s">
        <v>90</v>
      </c>
      <c r="H250">
        <v>78882</v>
      </c>
      <c r="I250" t="str">
        <f>HYPERLINK("https://www.inaturalist.org/taxa/78882-Rosa-multiflora", "View")</f>
        <v>View</v>
      </c>
      <c r="J250" t="s">
        <v>89</v>
      </c>
      <c r="K250" t="s">
        <v>96</v>
      </c>
      <c r="L250">
        <v>78882</v>
      </c>
      <c r="M250">
        <v>36.74</v>
      </c>
      <c r="N250">
        <v>36.840000000000003</v>
      </c>
      <c r="O250">
        <v>1</v>
      </c>
      <c r="P250" t="s">
        <v>25</v>
      </c>
      <c r="Q250" t="s">
        <v>48</v>
      </c>
      <c r="R250">
        <v>74.05</v>
      </c>
      <c r="S250">
        <v>41.31</v>
      </c>
      <c r="T250" t="s">
        <v>27</v>
      </c>
      <c r="U250" t="s">
        <v>27</v>
      </c>
      <c r="V250" t="s">
        <v>29</v>
      </c>
      <c r="W250" t="s">
        <v>242</v>
      </c>
    </row>
    <row r="251" spans="1:25" x14ac:dyDescent="0.3">
      <c r="A251">
        <v>224</v>
      </c>
      <c r="B251" t="str">
        <f>HYPERLINK("https://imapinvasives.natureserve.org/imap/services/page/Presence/1336143.html", "View")</f>
        <v>View</v>
      </c>
      <c r="C251">
        <v>1336143</v>
      </c>
      <c r="D251">
        <v>1350516</v>
      </c>
      <c r="E251" t="str">
        <f>HYPERLINK("http://imap3images.s3-website-us-east-1.amazonaws.com/1350516/p/imap_app_photo_1687388220741.jpg", "View")</f>
        <v>View</v>
      </c>
      <c r="F251" t="s">
        <v>89</v>
      </c>
      <c r="G251" t="s">
        <v>90</v>
      </c>
      <c r="H251">
        <v>78882</v>
      </c>
      <c r="I251" t="str">
        <f>HYPERLINK("https://www.inaturalist.org/taxa/78882-Rosa-multiflora", "View")</f>
        <v>View</v>
      </c>
      <c r="J251" t="s">
        <v>89</v>
      </c>
      <c r="K251" t="s">
        <v>96</v>
      </c>
      <c r="L251">
        <v>78882</v>
      </c>
      <c r="M251">
        <v>93.05</v>
      </c>
      <c r="N251">
        <v>47.1</v>
      </c>
      <c r="O251">
        <v>1</v>
      </c>
      <c r="P251" t="s">
        <v>25</v>
      </c>
      <c r="Q251" t="s">
        <v>48</v>
      </c>
      <c r="R251">
        <v>74.05</v>
      </c>
      <c r="S251">
        <v>41.31</v>
      </c>
      <c r="T251" t="s">
        <v>27</v>
      </c>
      <c r="U251" t="s">
        <v>28</v>
      </c>
      <c r="V251" t="s">
        <v>29</v>
      </c>
      <c r="W251" t="s">
        <v>242</v>
      </c>
    </row>
    <row r="252" spans="1:25" x14ac:dyDescent="0.3">
      <c r="A252">
        <v>227</v>
      </c>
      <c r="B252" t="str">
        <f>HYPERLINK("https://imapinvasives.natureserve.org/imap/services/page/Presence/1160511.html", "View")</f>
        <v>View</v>
      </c>
      <c r="C252">
        <v>1160511</v>
      </c>
      <c r="D252">
        <v>1167631</v>
      </c>
      <c r="E252" t="str">
        <f>HYPERLINK("http://imap3images.s3-website-us-east-1.amazonaws.com/1167631/p/imap_app_photo_1630278189791.jpg", "View")</f>
        <v>View</v>
      </c>
      <c r="F252" t="s">
        <v>89</v>
      </c>
      <c r="G252" t="s">
        <v>90</v>
      </c>
      <c r="H252">
        <v>78882</v>
      </c>
      <c r="I252" t="str">
        <f>HYPERLINK("https://www.inaturalist.org/taxa/78882-Rosa-multiflora", "View")</f>
        <v>View</v>
      </c>
      <c r="J252" t="s">
        <v>89</v>
      </c>
      <c r="K252" t="s">
        <v>96</v>
      </c>
      <c r="L252">
        <v>78882</v>
      </c>
      <c r="M252">
        <v>36.74</v>
      </c>
      <c r="N252">
        <v>12.68</v>
      </c>
      <c r="O252">
        <v>1</v>
      </c>
      <c r="P252" t="s">
        <v>25</v>
      </c>
      <c r="Q252" t="s">
        <v>48</v>
      </c>
      <c r="R252">
        <v>74.05</v>
      </c>
      <c r="S252">
        <v>41.31</v>
      </c>
      <c r="T252" t="s">
        <v>27</v>
      </c>
      <c r="U252" t="s">
        <v>27</v>
      </c>
      <c r="V252" t="s">
        <v>29</v>
      </c>
      <c r="W252" t="s">
        <v>242</v>
      </c>
    </row>
    <row r="253" spans="1:25" x14ac:dyDescent="0.3">
      <c r="A253">
        <v>234</v>
      </c>
      <c r="B253" t="str">
        <f>HYPERLINK("https://imapinvasives.natureserve.org/imap/services/page/Presence/1068975.html", "View")</f>
        <v>View</v>
      </c>
      <c r="C253">
        <v>1068975</v>
      </c>
      <c r="D253">
        <v>1073825</v>
      </c>
      <c r="E253" t="str">
        <f>HYPERLINK("http://imap3images.s3-website-us-east-1.amazonaws.com/1073825/p/imap_app_photo_1600011624790.jpg", "View")</f>
        <v>View</v>
      </c>
      <c r="F253" t="s">
        <v>89</v>
      </c>
      <c r="G253" t="s">
        <v>90</v>
      </c>
      <c r="H253">
        <v>78882</v>
      </c>
      <c r="I253" t="str">
        <f>HYPERLINK("https://www.inaturalist.org/taxa/55884-Rosa-canina", "View")</f>
        <v>View</v>
      </c>
      <c r="J253" t="s">
        <v>228</v>
      </c>
      <c r="K253" t="s">
        <v>229</v>
      </c>
      <c r="L253">
        <v>55884</v>
      </c>
      <c r="M253">
        <v>2.4</v>
      </c>
      <c r="N253">
        <v>39.68</v>
      </c>
      <c r="O253">
        <v>0</v>
      </c>
      <c r="P253" t="s">
        <v>32</v>
      </c>
      <c r="Q253" t="s">
        <v>48</v>
      </c>
      <c r="R253">
        <v>74.05</v>
      </c>
      <c r="S253">
        <v>41.31</v>
      </c>
      <c r="T253" t="s">
        <v>27</v>
      </c>
      <c r="U253" t="s">
        <v>27</v>
      </c>
      <c r="V253" t="s">
        <v>29</v>
      </c>
      <c r="W253" t="s">
        <v>242</v>
      </c>
      <c r="Y253" t="s">
        <v>245</v>
      </c>
    </row>
    <row r="254" spans="1:25" x14ac:dyDescent="0.3">
      <c r="A254">
        <v>239</v>
      </c>
      <c r="B254" t="str">
        <f>HYPERLINK("https://imapinvasives.natureserve.org/imap/services/page/Presence/533098.html", "View")</f>
        <v>View</v>
      </c>
      <c r="C254">
        <v>533098</v>
      </c>
      <c r="D254">
        <v>533098</v>
      </c>
      <c r="E254" t="str">
        <f>HYPERLINK("http://imap3images.s3-website-us-east-1.amazonaws.com/533098/p/photourl1_2019_02_13_kalburgess_9xxuylol.jpg", "View")</f>
        <v>View</v>
      </c>
      <c r="F254" t="s">
        <v>89</v>
      </c>
      <c r="G254" t="s">
        <v>90</v>
      </c>
      <c r="H254">
        <v>78882</v>
      </c>
      <c r="I254" t="str">
        <f>HYPERLINK("https://www.inaturalist.org/taxa/129048-Physocarpus-opulifolius", "View")</f>
        <v>View</v>
      </c>
      <c r="J254" t="s">
        <v>230</v>
      </c>
      <c r="K254" t="s">
        <v>231</v>
      </c>
      <c r="L254">
        <v>129048</v>
      </c>
      <c r="M254">
        <v>6.48</v>
      </c>
      <c r="N254">
        <v>66.03</v>
      </c>
      <c r="O254">
        <v>0</v>
      </c>
      <c r="P254" t="s">
        <v>32</v>
      </c>
      <c r="Q254" t="s">
        <v>48</v>
      </c>
      <c r="R254">
        <v>74.05</v>
      </c>
      <c r="S254">
        <v>41.31</v>
      </c>
      <c r="T254" t="s">
        <v>27</v>
      </c>
      <c r="U254" t="s">
        <v>27</v>
      </c>
      <c r="V254" t="s">
        <v>29</v>
      </c>
      <c r="W254" t="s">
        <v>242</v>
      </c>
    </row>
    <row r="255" spans="1:25" x14ac:dyDescent="0.3">
      <c r="A255">
        <v>1</v>
      </c>
      <c r="B255" t="str">
        <f>HYPERLINK("https://imapinvasives.natureserve.org/imap/services/page/Presence/1388758.html", "View")</f>
        <v>View</v>
      </c>
      <c r="C255">
        <v>1388758</v>
      </c>
      <c r="D255">
        <v>1406858</v>
      </c>
      <c r="E255" t="str">
        <f>HYPERLINK("http://imap3images.s3-website-us-east-1.amazonaws.com/1406858/p/imap_app_photo_1708186362575.jpg", "View")</f>
        <v>View</v>
      </c>
      <c r="F255" t="s">
        <v>235</v>
      </c>
      <c r="G255" t="s">
        <v>88</v>
      </c>
      <c r="H255">
        <v>914922</v>
      </c>
      <c r="I255" t="str">
        <f t="shared" ref="I255:I280" si="7">HYPERLINK("https://www.inaturalist.org/taxa/914922-Reynoutria-japonica", "View")</f>
        <v>View</v>
      </c>
      <c r="J255" t="s">
        <v>236</v>
      </c>
      <c r="K255" t="s">
        <v>237</v>
      </c>
      <c r="L255">
        <v>914922</v>
      </c>
      <c r="M255">
        <v>21.87</v>
      </c>
      <c r="N255">
        <v>98.9</v>
      </c>
      <c r="O255">
        <v>1</v>
      </c>
      <c r="P255" t="s">
        <v>25</v>
      </c>
      <c r="Q255" t="s">
        <v>48</v>
      </c>
      <c r="R255">
        <v>76.73</v>
      </c>
      <c r="S255">
        <v>31.94</v>
      </c>
      <c r="T255" t="s">
        <v>28</v>
      </c>
      <c r="U255" t="s">
        <v>27</v>
      </c>
      <c r="V255" t="s">
        <v>34</v>
      </c>
      <c r="W255" t="s">
        <v>241</v>
      </c>
    </row>
    <row r="256" spans="1:25" x14ac:dyDescent="0.3">
      <c r="A256">
        <v>2</v>
      </c>
      <c r="B256" t="str">
        <f>HYPERLINK("https://imapinvasives.natureserve.org/imap/services/page/Presence/1447443.html", "View")</f>
        <v>View</v>
      </c>
      <c r="C256">
        <v>1447443</v>
      </c>
      <c r="D256">
        <v>1462319</v>
      </c>
      <c r="E256" t="str">
        <f>HYPERLINK("http://imap3images.s3-website-us-east-1.amazonaws.com/1462319/p/imap_app_photo_1726496723007.jpg", "View")</f>
        <v>View</v>
      </c>
      <c r="F256" t="s">
        <v>235</v>
      </c>
      <c r="G256" t="s">
        <v>88</v>
      </c>
      <c r="H256">
        <v>914922</v>
      </c>
      <c r="I256" t="str">
        <f t="shared" si="7"/>
        <v>View</v>
      </c>
      <c r="J256" t="s">
        <v>236</v>
      </c>
      <c r="K256" t="s">
        <v>237</v>
      </c>
      <c r="L256">
        <v>914922</v>
      </c>
      <c r="M256">
        <v>19.079999999999998</v>
      </c>
      <c r="N256">
        <v>98.93</v>
      </c>
      <c r="O256">
        <v>1</v>
      </c>
      <c r="P256" t="s">
        <v>25</v>
      </c>
      <c r="Q256" t="s">
        <v>48</v>
      </c>
      <c r="R256">
        <v>76.73</v>
      </c>
      <c r="S256">
        <v>31.94</v>
      </c>
      <c r="T256" t="s">
        <v>28</v>
      </c>
      <c r="U256" t="s">
        <v>27</v>
      </c>
      <c r="V256" t="s">
        <v>34</v>
      </c>
      <c r="W256" t="s">
        <v>241</v>
      </c>
    </row>
    <row r="257" spans="1:23" x14ac:dyDescent="0.3">
      <c r="A257">
        <v>3</v>
      </c>
      <c r="B257" t="str">
        <f>HYPERLINK("https://imapinvasives.natureserve.org/imap/services/page/Presence/1460886.html", "View")</f>
        <v>View</v>
      </c>
      <c r="C257">
        <v>1460886</v>
      </c>
      <c r="D257">
        <v>1475917</v>
      </c>
      <c r="E257" t="str">
        <f>HYPERLINK("http://imap3images.s3-website-us-east-1.amazonaws.com/1475917/p/imap_app_photo_1729877826020.jpg", "View")</f>
        <v>View</v>
      </c>
      <c r="F257" t="s">
        <v>235</v>
      </c>
      <c r="G257" t="s">
        <v>88</v>
      </c>
      <c r="H257">
        <v>914922</v>
      </c>
      <c r="I257" t="str">
        <f t="shared" si="7"/>
        <v>View</v>
      </c>
      <c r="J257" t="s">
        <v>236</v>
      </c>
      <c r="K257" t="s">
        <v>237</v>
      </c>
      <c r="L257">
        <v>914922</v>
      </c>
      <c r="M257">
        <v>21.87</v>
      </c>
      <c r="N257">
        <v>97.26</v>
      </c>
      <c r="O257">
        <v>1</v>
      </c>
      <c r="P257" t="s">
        <v>25</v>
      </c>
      <c r="Q257" t="s">
        <v>48</v>
      </c>
      <c r="R257">
        <v>76.73</v>
      </c>
      <c r="S257">
        <v>31.94</v>
      </c>
      <c r="T257" t="s">
        <v>28</v>
      </c>
      <c r="U257" t="s">
        <v>27</v>
      </c>
      <c r="V257" t="s">
        <v>34</v>
      </c>
      <c r="W257" t="s">
        <v>241</v>
      </c>
    </row>
    <row r="258" spans="1:23" x14ac:dyDescent="0.3">
      <c r="A258">
        <v>4</v>
      </c>
      <c r="B258" t="str">
        <f>HYPERLINK("https://imapinvasives.natureserve.org/imap/services/page/Presence/1434433.html", "View")</f>
        <v>View</v>
      </c>
      <c r="C258">
        <v>1434433</v>
      </c>
      <c r="D258">
        <v>1448093</v>
      </c>
      <c r="E258" t="str">
        <f>HYPERLINK("http://imap3images.s3-website-us-east-1.amazonaws.com/1448093/p/imap_app_photo_1720871108800.jpg", "View")</f>
        <v>View</v>
      </c>
      <c r="F258" t="s">
        <v>235</v>
      </c>
      <c r="G258" t="s">
        <v>88</v>
      </c>
      <c r="H258">
        <v>914922</v>
      </c>
      <c r="I258" t="str">
        <f t="shared" si="7"/>
        <v>View</v>
      </c>
      <c r="J258" t="s">
        <v>236</v>
      </c>
      <c r="K258" t="s">
        <v>237</v>
      </c>
      <c r="L258">
        <v>914922</v>
      </c>
      <c r="M258">
        <v>12.43</v>
      </c>
      <c r="N258">
        <v>96.1</v>
      </c>
      <c r="O258">
        <v>1</v>
      </c>
      <c r="P258" t="s">
        <v>25</v>
      </c>
      <c r="Q258" t="s">
        <v>48</v>
      </c>
      <c r="R258">
        <v>76.73</v>
      </c>
      <c r="S258">
        <v>31.94</v>
      </c>
      <c r="T258" t="s">
        <v>28</v>
      </c>
      <c r="U258" t="s">
        <v>27</v>
      </c>
      <c r="V258" t="s">
        <v>34</v>
      </c>
      <c r="W258" t="s">
        <v>241</v>
      </c>
    </row>
    <row r="259" spans="1:23" x14ac:dyDescent="0.3">
      <c r="A259">
        <v>5</v>
      </c>
      <c r="B259" t="str">
        <f>HYPERLINK("https://imapinvasives.natureserve.org/imap/services/page/Presence/1441679.html", "View")</f>
        <v>View</v>
      </c>
      <c r="C259">
        <v>1441679</v>
      </c>
      <c r="D259">
        <v>1456163</v>
      </c>
      <c r="E259" t="str">
        <f>HYPERLINK("http://imap3images.s3-website-us-east-1.amazonaws.com/1456163/p/imap_app_photo_1724290086708.jpg", "View")</f>
        <v>View</v>
      </c>
      <c r="F259" t="s">
        <v>235</v>
      </c>
      <c r="G259" t="s">
        <v>88</v>
      </c>
      <c r="H259">
        <v>914922</v>
      </c>
      <c r="I259" t="str">
        <f t="shared" si="7"/>
        <v>View</v>
      </c>
      <c r="J259" t="s">
        <v>236</v>
      </c>
      <c r="K259" t="s">
        <v>237</v>
      </c>
      <c r="L259">
        <v>914922</v>
      </c>
      <c r="M259">
        <v>8.8000000000000007</v>
      </c>
      <c r="N259">
        <v>94.33</v>
      </c>
      <c r="O259">
        <v>1</v>
      </c>
      <c r="P259" t="s">
        <v>25</v>
      </c>
      <c r="Q259" t="s">
        <v>48</v>
      </c>
      <c r="R259">
        <v>76.73</v>
      </c>
      <c r="S259">
        <v>31.94</v>
      </c>
      <c r="T259" t="s">
        <v>28</v>
      </c>
      <c r="U259" t="s">
        <v>27</v>
      </c>
      <c r="V259" t="s">
        <v>34</v>
      </c>
      <c r="W259" t="s">
        <v>241</v>
      </c>
    </row>
    <row r="260" spans="1:23" x14ac:dyDescent="0.3">
      <c r="A260">
        <v>6</v>
      </c>
      <c r="B260" t="str">
        <f>HYPERLINK("https://imapinvasives.natureserve.org/imap/services/page/Presence/1410962.html", "View")</f>
        <v>View</v>
      </c>
      <c r="C260">
        <v>1410962</v>
      </c>
      <c r="D260">
        <v>1423502</v>
      </c>
      <c r="E260" t="str">
        <f>HYPERLINK("http://imap3images.s3-website-us-east-1.amazonaws.com/1423502/p/imap_app_photo_1718062324444.jpg", "View")</f>
        <v>View</v>
      </c>
      <c r="F260" t="s">
        <v>235</v>
      </c>
      <c r="G260" t="s">
        <v>88</v>
      </c>
      <c r="H260">
        <v>914922</v>
      </c>
      <c r="I260" t="str">
        <f t="shared" si="7"/>
        <v>View</v>
      </c>
      <c r="J260" t="s">
        <v>236</v>
      </c>
      <c r="K260" t="s">
        <v>237</v>
      </c>
      <c r="L260">
        <v>914922</v>
      </c>
      <c r="M260">
        <v>87.31</v>
      </c>
      <c r="N260">
        <v>97.26</v>
      </c>
      <c r="O260">
        <v>1</v>
      </c>
      <c r="P260" t="s">
        <v>25</v>
      </c>
      <c r="Q260" t="s">
        <v>48</v>
      </c>
      <c r="R260">
        <v>76.73</v>
      </c>
      <c r="S260">
        <v>31.94</v>
      </c>
      <c r="T260" t="s">
        <v>28</v>
      </c>
      <c r="U260" t="s">
        <v>28</v>
      </c>
      <c r="V260" t="s">
        <v>34</v>
      </c>
      <c r="W260" t="s">
        <v>241</v>
      </c>
    </row>
    <row r="261" spans="1:23" x14ac:dyDescent="0.3">
      <c r="A261">
        <v>7</v>
      </c>
      <c r="B261" t="str">
        <f>HYPERLINK("https://imapinvasives.natureserve.org/imap/services/page/Presence/1414514.html", "View")</f>
        <v>View</v>
      </c>
      <c r="C261">
        <v>1414514</v>
      </c>
      <c r="D261">
        <v>1428045</v>
      </c>
      <c r="E261" t="str">
        <f>HYPERLINK("http://imap3images.s3-website-us-east-1.amazonaws.com/1428045/p/imap_app_photo_1720026026216.jpg", "View")</f>
        <v>View</v>
      </c>
      <c r="F261" t="s">
        <v>235</v>
      </c>
      <c r="G261" t="s">
        <v>88</v>
      </c>
      <c r="H261">
        <v>914922</v>
      </c>
      <c r="I261" t="str">
        <f t="shared" si="7"/>
        <v>View</v>
      </c>
      <c r="J261" t="s">
        <v>236</v>
      </c>
      <c r="K261" t="s">
        <v>237</v>
      </c>
      <c r="L261">
        <v>914922</v>
      </c>
      <c r="M261">
        <v>12.85</v>
      </c>
      <c r="N261">
        <v>27.29</v>
      </c>
      <c r="O261">
        <v>1</v>
      </c>
      <c r="P261" t="s">
        <v>25</v>
      </c>
      <c r="Q261" t="s">
        <v>48</v>
      </c>
      <c r="R261">
        <v>76.73</v>
      </c>
      <c r="S261">
        <v>31.94</v>
      </c>
      <c r="T261" t="s">
        <v>27</v>
      </c>
      <c r="U261" t="s">
        <v>27</v>
      </c>
      <c r="V261" t="s">
        <v>29</v>
      </c>
      <c r="W261" t="s">
        <v>241</v>
      </c>
    </row>
    <row r="262" spans="1:23" x14ac:dyDescent="0.3">
      <c r="A262">
        <v>8</v>
      </c>
      <c r="B262" t="str">
        <f>HYPERLINK("https://imapinvasives.natureserve.org/imap/services/page/Presence/1460887.html", "View")</f>
        <v>View</v>
      </c>
      <c r="C262">
        <v>1460887</v>
      </c>
      <c r="D262">
        <v>1475918</v>
      </c>
      <c r="E262" t="str">
        <f>HYPERLINK("http://imap3images.s3-website-us-east-1.amazonaws.com/1475918/p/imap_app_photo_1729877835140.jpg", "View")</f>
        <v>View</v>
      </c>
      <c r="F262" t="s">
        <v>235</v>
      </c>
      <c r="G262" t="s">
        <v>88</v>
      </c>
      <c r="H262">
        <v>914922</v>
      </c>
      <c r="I262" t="str">
        <f t="shared" si="7"/>
        <v>View</v>
      </c>
      <c r="J262" t="s">
        <v>236</v>
      </c>
      <c r="K262" t="s">
        <v>237</v>
      </c>
      <c r="L262">
        <v>914922</v>
      </c>
      <c r="M262">
        <v>21.87</v>
      </c>
      <c r="N262">
        <v>93.12</v>
      </c>
      <c r="O262">
        <v>1</v>
      </c>
      <c r="P262" t="s">
        <v>25</v>
      </c>
      <c r="Q262" t="s">
        <v>48</v>
      </c>
      <c r="R262">
        <v>76.73</v>
      </c>
      <c r="S262">
        <v>31.94</v>
      </c>
      <c r="T262" t="s">
        <v>28</v>
      </c>
      <c r="U262" t="s">
        <v>27</v>
      </c>
      <c r="V262" t="s">
        <v>34</v>
      </c>
      <c r="W262" t="s">
        <v>241</v>
      </c>
    </row>
    <row r="263" spans="1:23" x14ac:dyDescent="0.3">
      <c r="A263">
        <v>9</v>
      </c>
      <c r="B263" t="str">
        <f>HYPERLINK("https://imapinvasives.natureserve.org/imap/services/page/Presence/1327381.html", "View")</f>
        <v>View</v>
      </c>
      <c r="C263">
        <v>1327381</v>
      </c>
      <c r="D263">
        <v>1340331</v>
      </c>
      <c r="E263" t="str">
        <f>HYPERLINK("http://imap3images.s3-website-us-east-1.amazonaws.com/1340331/p/Photo2-20230502-174924.jpg", "View")</f>
        <v>View</v>
      </c>
      <c r="F263" t="s">
        <v>235</v>
      </c>
      <c r="G263" t="s">
        <v>88</v>
      </c>
      <c r="H263">
        <v>914922</v>
      </c>
      <c r="I263" t="str">
        <f t="shared" si="7"/>
        <v>View</v>
      </c>
      <c r="J263" t="s">
        <v>236</v>
      </c>
      <c r="K263" t="s">
        <v>237</v>
      </c>
      <c r="L263">
        <v>914922</v>
      </c>
      <c r="M263">
        <v>87.31</v>
      </c>
      <c r="N263">
        <v>62.59</v>
      </c>
      <c r="O263">
        <v>1</v>
      </c>
      <c r="P263" t="s">
        <v>25</v>
      </c>
      <c r="Q263" t="s">
        <v>48</v>
      </c>
      <c r="R263">
        <v>76.73</v>
      </c>
      <c r="S263">
        <v>31.94</v>
      </c>
      <c r="T263" t="s">
        <v>27</v>
      </c>
      <c r="U263" t="s">
        <v>28</v>
      </c>
      <c r="V263" t="s">
        <v>29</v>
      </c>
      <c r="W263" t="s">
        <v>241</v>
      </c>
    </row>
    <row r="264" spans="1:23" x14ac:dyDescent="0.3">
      <c r="A264">
        <v>10</v>
      </c>
      <c r="B264" t="str">
        <f>HYPERLINK("https://imapinvasives.natureserve.org/imap/services/page/Presence/1284505.html", "View")</f>
        <v>View</v>
      </c>
      <c r="C264">
        <v>1284505</v>
      </c>
      <c r="D264">
        <v>1294085</v>
      </c>
      <c r="E264" t="str">
        <f>HYPERLINK("http://imap3images.s3-website-us-east-1.amazonaws.com/1294085/p/imap_app_photo_1659196402950.jpg", "View")</f>
        <v>View</v>
      </c>
      <c r="F264" t="s">
        <v>235</v>
      </c>
      <c r="G264" t="s">
        <v>88</v>
      </c>
      <c r="H264">
        <v>914922</v>
      </c>
      <c r="I264" t="str">
        <f t="shared" si="7"/>
        <v>View</v>
      </c>
      <c r="J264" t="s">
        <v>236</v>
      </c>
      <c r="K264" t="s">
        <v>237</v>
      </c>
      <c r="L264">
        <v>914922</v>
      </c>
      <c r="M264">
        <v>21.87</v>
      </c>
      <c r="N264">
        <v>85.46</v>
      </c>
      <c r="O264">
        <v>1</v>
      </c>
      <c r="P264" t="s">
        <v>25</v>
      </c>
      <c r="Q264" t="s">
        <v>48</v>
      </c>
      <c r="R264">
        <v>76.73</v>
      </c>
      <c r="S264">
        <v>31.94</v>
      </c>
      <c r="T264" t="s">
        <v>28</v>
      </c>
      <c r="U264" t="s">
        <v>27</v>
      </c>
      <c r="V264" t="s">
        <v>34</v>
      </c>
      <c r="W264" t="s">
        <v>241</v>
      </c>
    </row>
    <row r="265" spans="1:23" x14ac:dyDescent="0.3">
      <c r="A265">
        <v>11</v>
      </c>
      <c r="B265" t="str">
        <f>HYPERLINK("https://imapinvasives.natureserve.org/imap/services/page/Presence/1151351.html", "View")</f>
        <v>View</v>
      </c>
      <c r="C265">
        <v>1151351</v>
      </c>
      <c r="D265">
        <v>1158241</v>
      </c>
      <c r="E265" t="str">
        <f>HYPERLINK("http://imap3images.s3-website-us-east-1.amazonaws.com/1158241/p/imap_app_photo_1626500688129.jpg", "View")</f>
        <v>View</v>
      </c>
      <c r="F265" t="s">
        <v>235</v>
      </c>
      <c r="G265" t="s">
        <v>88</v>
      </c>
      <c r="H265">
        <v>914922</v>
      </c>
      <c r="I265" t="str">
        <f t="shared" si="7"/>
        <v>View</v>
      </c>
      <c r="J265" t="s">
        <v>236</v>
      </c>
      <c r="K265" t="s">
        <v>237</v>
      </c>
      <c r="L265">
        <v>914922</v>
      </c>
      <c r="M265">
        <v>21.87</v>
      </c>
      <c r="N265">
        <v>99.68</v>
      </c>
      <c r="O265">
        <v>1</v>
      </c>
      <c r="P265" t="s">
        <v>25</v>
      </c>
      <c r="Q265" t="s">
        <v>48</v>
      </c>
      <c r="R265">
        <v>76.73</v>
      </c>
      <c r="S265">
        <v>31.94</v>
      </c>
      <c r="T265" t="s">
        <v>28</v>
      </c>
      <c r="U265" t="s">
        <v>27</v>
      </c>
      <c r="V265" t="s">
        <v>34</v>
      </c>
      <c r="W265" t="s">
        <v>241</v>
      </c>
    </row>
    <row r="266" spans="1:23" x14ac:dyDescent="0.3">
      <c r="A266">
        <v>12</v>
      </c>
      <c r="B266" t="str">
        <f>HYPERLINK("https://imapinvasives.natureserve.org/imap/services/page/Presence/1414503.html", "View")</f>
        <v>View</v>
      </c>
      <c r="C266">
        <v>1414503</v>
      </c>
      <c r="D266">
        <v>1428034</v>
      </c>
      <c r="E266" t="str">
        <f>HYPERLINK("http://imap3images.s3-website-us-east-1.amazonaws.com/1428034/p/imap_app_photo_1720025978924.jpg", "View")</f>
        <v>View</v>
      </c>
      <c r="F266" t="s">
        <v>235</v>
      </c>
      <c r="G266" t="s">
        <v>88</v>
      </c>
      <c r="H266">
        <v>914922</v>
      </c>
      <c r="I266" t="str">
        <f t="shared" si="7"/>
        <v>View</v>
      </c>
      <c r="J266" t="s">
        <v>236</v>
      </c>
      <c r="K266" t="s">
        <v>237</v>
      </c>
      <c r="L266">
        <v>914922</v>
      </c>
      <c r="M266">
        <v>12.85</v>
      </c>
      <c r="N266">
        <v>77.13</v>
      </c>
      <c r="O266">
        <v>1</v>
      </c>
      <c r="P266" t="s">
        <v>25</v>
      </c>
      <c r="Q266" t="s">
        <v>48</v>
      </c>
      <c r="R266">
        <v>76.73</v>
      </c>
      <c r="S266">
        <v>31.94</v>
      </c>
      <c r="T266" t="s">
        <v>28</v>
      </c>
      <c r="U266" t="s">
        <v>27</v>
      </c>
      <c r="V266" t="s">
        <v>34</v>
      </c>
      <c r="W266" t="s">
        <v>241</v>
      </c>
    </row>
    <row r="267" spans="1:23" x14ac:dyDescent="0.3">
      <c r="A267">
        <v>14</v>
      </c>
      <c r="B267" t="str">
        <f>HYPERLINK("https://imapinvasives.natureserve.org/imap/services/page/Presence/1410569.html", "View")</f>
        <v>View</v>
      </c>
      <c r="C267">
        <v>1410569</v>
      </c>
      <c r="D267">
        <v>1423075</v>
      </c>
      <c r="E267" t="str">
        <f>HYPERLINK("http://imap3images.s3-website-us-east-1.amazonaws.com/1423075/p/imap_app_photo_1717722228228.jpg", "View")</f>
        <v>View</v>
      </c>
      <c r="F267" t="s">
        <v>235</v>
      </c>
      <c r="G267" t="s">
        <v>88</v>
      </c>
      <c r="H267">
        <v>914922</v>
      </c>
      <c r="I267" t="str">
        <f t="shared" si="7"/>
        <v>View</v>
      </c>
      <c r="J267" t="s">
        <v>236</v>
      </c>
      <c r="K267" t="s">
        <v>237</v>
      </c>
      <c r="L267">
        <v>914922</v>
      </c>
      <c r="M267">
        <v>87.31</v>
      </c>
      <c r="N267">
        <v>96.44</v>
      </c>
      <c r="O267">
        <v>1</v>
      </c>
      <c r="P267" t="s">
        <v>25</v>
      </c>
      <c r="Q267" t="s">
        <v>48</v>
      </c>
      <c r="R267">
        <v>76.73</v>
      </c>
      <c r="S267">
        <v>31.94</v>
      </c>
      <c r="T267" t="s">
        <v>28</v>
      </c>
      <c r="U267" t="s">
        <v>28</v>
      </c>
      <c r="V267" t="s">
        <v>34</v>
      </c>
      <c r="W267" t="s">
        <v>241</v>
      </c>
    </row>
    <row r="268" spans="1:23" x14ac:dyDescent="0.3">
      <c r="A268">
        <v>15</v>
      </c>
      <c r="B268" t="str">
        <f>HYPERLINK("https://imapinvasives.natureserve.org/imap/services/page/Presence/1179513.html", "View")</f>
        <v>View</v>
      </c>
      <c r="C268">
        <v>1179513</v>
      </c>
      <c r="D268">
        <v>1187326</v>
      </c>
      <c r="E268" t="str">
        <f>HYPERLINK("http://imap3images.s3-website-us-east-1.amazonaws.com/1187326/p/imap_app_photo_1635619216589.jpg", "View")</f>
        <v>View</v>
      </c>
      <c r="F268" t="s">
        <v>235</v>
      </c>
      <c r="G268" t="s">
        <v>88</v>
      </c>
      <c r="H268">
        <v>914922</v>
      </c>
      <c r="I268" t="str">
        <f t="shared" si="7"/>
        <v>View</v>
      </c>
      <c r="J268" t="s">
        <v>236</v>
      </c>
      <c r="K268" t="s">
        <v>237</v>
      </c>
      <c r="L268">
        <v>914922</v>
      </c>
      <c r="M268">
        <v>21.87</v>
      </c>
      <c r="N268">
        <v>98.56</v>
      </c>
      <c r="O268">
        <v>1</v>
      </c>
      <c r="P268" t="s">
        <v>25</v>
      </c>
      <c r="Q268" t="s">
        <v>48</v>
      </c>
      <c r="R268">
        <v>76.73</v>
      </c>
      <c r="S268">
        <v>31.94</v>
      </c>
      <c r="T268" t="s">
        <v>28</v>
      </c>
      <c r="U268" t="s">
        <v>27</v>
      </c>
      <c r="V268" t="s">
        <v>34</v>
      </c>
      <c r="W268" t="s">
        <v>241</v>
      </c>
    </row>
    <row r="269" spans="1:23" x14ac:dyDescent="0.3">
      <c r="A269">
        <v>16</v>
      </c>
      <c r="B269" t="str">
        <f>HYPERLINK("https://imapinvasives.natureserve.org/imap/services/page/Presence/1363764.html", "View")</f>
        <v>View</v>
      </c>
      <c r="C269">
        <v>1363764</v>
      </c>
      <c r="D269">
        <v>1381677</v>
      </c>
      <c r="E269" t="str">
        <f>HYPERLINK("http://imap3images.s3-website-us-east-1.amazonaws.com/1381677/p/imap_app_photo_1700522448631.jpg", "View")</f>
        <v>View</v>
      </c>
      <c r="F269" t="s">
        <v>235</v>
      </c>
      <c r="G269" t="s">
        <v>88</v>
      </c>
      <c r="H269">
        <v>914922</v>
      </c>
      <c r="I269" t="str">
        <f t="shared" si="7"/>
        <v>View</v>
      </c>
      <c r="J269" t="s">
        <v>236</v>
      </c>
      <c r="K269" t="s">
        <v>237</v>
      </c>
      <c r="L269">
        <v>914922</v>
      </c>
      <c r="M269">
        <v>20.85</v>
      </c>
      <c r="N269">
        <v>41.11</v>
      </c>
      <c r="O269">
        <v>1</v>
      </c>
      <c r="P269" t="s">
        <v>25</v>
      </c>
      <c r="Q269" t="s">
        <v>48</v>
      </c>
      <c r="R269">
        <v>76.73</v>
      </c>
      <c r="S269">
        <v>31.94</v>
      </c>
      <c r="T269" t="s">
        <v>27</v>
      </c>
      <c r="U269" t="s">
        <v>27</v>
      </c>
      <c r="V269" t="s">
        <v>29</v>
      </c>
      <c r="W269" t="s">
        <v>242</v>
      </c>
    </row>
    <row r="270" spans="1:23" x14ac:dyDescent="0.3">
      <c r="A270">
        <v>18</v>
      </c>
      <c r="B270" t="str">
        <f>HYPERLINK("https://imapinvasives.natureserve.org/imap/services/page/Presence/1327759.html", "View")</f>
        <v>View</v>
      </c>
      <c r="C270">
        <v>1327759</v>
      </c>
      <c r="D270">
        <v>1340753</v>
      </c>
      <c r="E270" t="str">
        <f>HYPERLINK("http://imap3images.s3-website-us-east-1.amazonaws.com/1340753/p/imap_app_photo_1683160660679.jpg", "View")</f>
        <v>View</v>
      </c>
      <c r="F270" t="s">
        <v>235</v>
      </c>
      <c r="G270" t="s">
        <v>88</v>
      </c>
      <c r="H270">
        <v>914922</v>
      </c>
      <c r="I270" t="str">
        <f t="shared" si="7"/>
        <v>View</v>
      </c>
      <c r="J270" t="s">
        <v>236</v>
      </c>
      <c r="K270" t="s">
        <v>237</v>
      </c>
      <c r="L270">
        <v>914922</v>
      </c>
      <c r="M270">
        <v>48.62</v>
      </c>
      <c r="N270">
        <v>99.56</v>
      </c>
      <c r="O270">
        <v>1</v>
      </c>
      <c r="P270" t="s">
        <v>25</v>
      </c>
      <c r="Q270" t="s">
        <v>48</v>
      </c>
      <c r="R270">
        <v>76.73</v>
      </c>
      <c r="S270">
        <v>31.94</v>
      </c>
      <c r="T270" t="s">
        <v>28</v>
      </c>
      <c r="U270" t="s">
        <v>28</v>
      </c>
      <c r="V270" t="s">
        <v>34</v>
      </c>
      <c r="W270" t="s">
        <v>241</v>
      </c>
    </row>
    <row r="271" spans="1:23" x14ac:dyDescent="0.3">
      <c r="A271">
        <v>19</v>
      </c>
      <c r="B271" t="str">
        <f>HYPERLINK("https://imapinvasives.natureserve.org/imap/services/page/Presence/1164287.html", "View")</f>
        <v>View</v>
      </c>
      <c r="C271">
        <v>1164287</v>
      </c>
      <c r="D271">
        <v>1171518</v>
      </c>
      <c r="E271" t="str">
        <f>HYPERLINK("http://imap3images.s3-website-us-east-1.amazonaws.com/1171518/p/imap_app_photo_1632236876839.jpg", "View")</f>
        <v>View</v>
      </c>
      <c r="F271" t="s">
        <v>235</v>
      </c>
      <c r="G271" t="s">
        <v>88</v>
      </c>
      <c r="H271">
        <v>914922</v>
      </c>
      <c r="I271" t="str">
        <f t="shared" si="7"/>
        <v>View</v>
      </c>
      <c r="J271" t="s">
        <v>236</v>
      </c>
      <c r="K271" t="s">
        <v>237</v>
      </c>
      <c r="L271">
        <v>914922</v>
      </c>
      <c r="M271">
        <v>12.18</v>
      </c>
      <c r="N271">
        <v>92.74</v>
      </c>
      <c r="O271">
        <v>1</v>
      </c>
      <c r="P271" t="s">
        <v>25</v>
      </c>
      <c r="Q271" t="s">
        <v>48</v>
      </c>
      <c r="R271">
        <v>76.73</v>
      </c>
      <c r="S271">
        <v>31.94</v>
      </c>
      <c r="T271" t="s">
        <v>28</v>
      </c>
      <c r="U271" t="s">
        <v>27</v>
      </c>
      <c r="V271" t="s">
        <v>34</v>
      </c>
      <c r="W271" t="s">
        <v>241</v>
      </c>
    </row>
    <row r="272" spans="1:23" x14ac:dyDescent="0.3">
      <c r="A272">
        <v>20</v>
      </c>
      <c r="B272" t="str">
        <f>HYPERLINK("https://imapinvasives.natureserve.org/imap/services/page/Presence/1332044.html", "View")</f>
        <v>View</v>
      </c>
      <c r="C272">
        <v>1332044</v>
      </c>
      <c r="D272">
        <v>1345710</v>
      </c>
      <c r="E272" t="str">
        <f>HYPERLINK("http://imap3images.s3-website-us-east-1.amazonaws.com/1345710/p/imap_app_photo_1685103511985.jpg", "View")</f>
        <v>View</v>
      </c>
      <c r="F272" t="s">
        <v>235</v>
      </c>
      <c r="G272" t="s">
        <v>88</v>
      </c>
      <c r="H272">
        <v>914922</v>
      </c>
      <c r="I272" t="str">
        <f t="shared" si="7"/>
        <v>View</v>
      </c>
      <c r="J272" t="s">
        <v>236</v>
      </c>
      <c r="K272" t="s">
        <v>237</v>
      </c>
      <c r="L272">
        <v>914922</v>
      </c>
      <c r="M272">
        <v>9.51</v>
      </c>
      <c r="N272">
        <v>79.66</v>
      </c>
      <c r="O272">
        <v>1</v>
      </c>
      <c r="P272" t="s">
        <v>25</v>
      </c>
      <c r="Q272" t="s">
        <v>48</v>
      </c>
      <c r="R272">
        <v>76.73</v>
      </c>
      <c r="S272">
        <v>31.94</v>
      </c>
      <c r="T272" t="s">
        <v>28</v>
      </c>
      <c r="U272" t="s">
        <v>27</v>
      </c>
      <c r="V272" t="s">
        <v>34</v>
      </c>
      <c r="W272" t="s">
        <v>241</v>
      </c>
    </row>
    <row r="273" spans="1:25" x14ac:dyDescent="0.3">
      <c r="A273">
        <v>21</v>
      </c>
      <c r="B273" t="str">
        <f>HYPERLINK("https://imapinvasives.natureserve.org/imap/services/page/Presence/421505.html", "View")</f>
        <v>View</v>
      </c>
      <c r="C273">
        <v>421505</v>
      </c>
      <c r="D273">
        <v>421505</v>
      </c>
      <c r="E273" t="str">
        <f>HYPERLINK("http://imap3images.s3-website-us-east-1.amazonaws.com/421505/p/photourl2_2014_10_19_jambeach_2e32bpoy.jpg", "View")</f>
        <v>View</v>
      </c>
      <c r="F273" t="s">
        <v>235</v>
      </c>
      <c r="G273" t="s">
        <v>88</v>
      </c>
      <c r="H273">
        <v>914922</v>
      </c>
      <c r="I273" t="str">
        <f t="shared" si="7"/>
        <v>View</v>
      </c>
      <c r="J273" t="s">
        <v>236</v>
      </c>
      <c r="K273" t="s">
        <v>237</v>
      </c>
      <c r="L273">
        <v>914922</v>
      </c>
      <c r="M273">
        <v>21.87</v>
      </c>
      <c r="N273">
        <v>98.94</v>
      </c>
      <c r="O273">
        <v>1</v>
      </c>
      <c r="P273" t="s">
        <v>25</v>
      </c>
      <c r="Q273" t="s">
        <v>48</v>
      </c>
      <c r="R273">
        <v>76.73</v>
      </c>
      <c r="S273">
        <v>31.94</v>
      </c>
      <c r="T273" t="s">
        <v>28</v>
      </c>
      <c r="U273" t="s">
        <v>27</v>
      </c>
      <c r="V273" t="s">
        <v>34</v>
      </c>
      <c r="W273" t="s">
        <v>241</v>
      </c>
    </row>
    <row r="274" spans="1:25" x14ac:dyDescent="0.3">
      <c r="A274">
        <v>22</v>
      </c>
      <c r="B274" t="str">
        <f>HYPERLINK("https://imapinvasives.natureserve.org/imap/services/page/Presence/1328273.html", "View")</f>
        <v>View</v>
      </c>
      <c r="C274">
        <v>1328273</v>
      </c>
      <c r="D274">
        <v>1341429</v>
      </c>
      <c r="E274" t="str">
        <f>HYPERLINK("http://imap3images.s3-website-us-east-1.amazonaws.com/1341429/p/imap_app_photo_1683551782662.jpg", "View")</f>
        <v>View</v>
      </c>
      <c r="F274" t="s">
        <v>235</v>
      </c>
      <c r="G274" t="s">
        <v>88</v>
      </c>
      <c r="H274">
        <v>914922</v>
      </c>
      <c r="I274" t="str">
        <f t="shared" si="7"/>
        <v>View</v>
      </c>
      <c r="J274" t="s">
        <v>236</v>
      </c>
      <c r="K274" t="s">
        <v>237</v>
      </c>
      <c r="L274">
        <v>914922</v>
      </c>
      <c r="M274">
        <v>7.89</v>
      </c>
      <c r="N274">
        <v>98.37</v>
      </c>
      <c r="O274">
        <v>1</v>
      </c>
      <c r="P274" t="s">
        <v>25</v>
      </c>
      <c r="Q274" t="s">
        <v>48</v>
      </c>
      <c r="R274">
        <v>76.73</v>
      </c>
      <c r="S274">
        <v>31.94</v>
      </c>
      <c r="T274" t="s">
        <v>28</v>
      </c>
      <c r="U274" t="s">
        <v>27</v>
      </c>
      <c r="V274" t="s">
        <v>34</v>
      </c>
      <c r="W274" t="s">
        <v>241</v>
      </c>
    </row>
    <row r="275" spans="1:25" x14ac:dyDescent="0.3">
      <c r="A275">
        <v>23</v>
      </c>
      <c r="B275" t="str">
        <f>HYPERLINK("https://imapinvasives.natureserve.org/imap/services/page/Presence/1274811.html", "View")</f>
        <v>View</v>
      </c>
      <c r="C275">
        <v>1274811</v>
      </c>
      <c r="D275">
        <v>1284117</v>
      </c>
      <c r="E275" t="str">
        <f>HYPERLINK("http://imap3images.s3-website-us-east-1.amazonaws.com/1284117/p/Photo1-20220614-165439.jpg", "View")</f>
        <v>View</v>
      </c>
      <c r="F275" t="s">
        <v>235</v>
      </c>
      <c r="G275" t="s">
        <v>88</v>
      </c>
      <c r="H275">
        <v>914922</v>
      </c>
      <c r="I275" t="str">
        <f t="shared" si="7"/>
        <v>View</v>
      </c>
      <c r="J275" t="s">
        <v>236</v>
      </c>
      <c r="K275" t="s">
        <v>237</v>
      </c>
      <c r="L275">
        <v>914922</v>
      </c>
      <c r="M275">
        <v>23.38</v>
      </c>
      <c r="N275">
        <v>99.6</v>
      </c>
      <c r="O275">
        <v>1</v>
      </c>
      <c r="P275" t="s">
        <v>25</v>
      </c>
      <c r="Q275" t="s">
        <v>48</v>
      </c>
      <c r="R275">
        <v>76.73</v>
      </c>
      <c r="S275">
        <v>31.94</v>
      </c>
      <c r="T275" t="s">
        <v>28</v>
      </c>
      <c r="U275" t="s">
        <v>27</v>
      </c>
      <c r="V275" t="s">
        <v>34</v>
      </c>
      <c r="W275" t="s">
        <v>241</v>
      </c>
    </row>
    <row r="276" spans="1:25" x14ac:dyDescent="0.3">
      <c r="A276">
        <v>24</v>
      </c>
      <c r="B276" t="str">
        <f>HYPERLINK("https://imapinvasives.natureserve.org/imap/services/page/Presence/1329269.html", "View")</f>
        <v>View</v>
      </c>
      <c r="C276">
        <v>1329269</v>
      </c>
      <c r="D276">
        <v>1342642</v>
      </c>
      <c r="E276" t="str">
        <f>HYPERLINK("http://imap3images.s3-website-us-east-1.amazonaws.com/1342642/p/imap_app_photo_1683922287131.jpg", "View")</f>
        <v>View</v>
      </c>
      <c r="F276" t="s">
        <v>235</v>
      </c>
      <c r="G276" t="s">
        <v>88</v>
      </c>
      <c r="H276">
        <v>914922</v>
      </c>
      <c r="I276" t="str">
        <f t="shared" si="7"/>
        <v>View</v>
      </c>
      <c r="J276" t="s">
        <v>236</v>
      </c>
      <c r="K276" t="s">
        <v>237</v>
      </c>
      <c r="L276">
        <v>914922</v>
      </c>
      <c r="M276">
        <v>87.31</v>
      </c>
      <c r="N276">
        <v>75.67</v>
      </c>
      <c r="O276">
        <v>1</v>
      </c>
      <c r="P276" t="s">
        <v>25</v>
      </c>
      <c r="Q276" t="s">
        <v>48</v>
      </c>
      <c r="R276">
        <v>76.73</v>
      </c>
      <c r="S276">
        <v>31.94</v>
      </c>
      <c r="T276" t="s">
        <v>27</v>
      </c>
      <c r="U276" t="s">
        <v>28</v>
      </c>
      <c r="V276" t="s">
        <v>29</v>
      </c>
      <c r="W276" t="s">
        <v>241</v>
      </c>
    </row>
    <row r="277" spans="1:25" x14ac:dyDescent="0.3">
      <c r="A277">
        <v>25</v>
      </c>
      <c r="B277" t="str">
        <f>HYPERLINK("https://imapinvasives.natureserve.org/imap/services/page/Presence/1475719.html", "View")</f>
        <v>View</v>
      </c>
      <c r="C277">
        <v>1475719</v>
      </c>
      <c r="D277">
        <v>1492248</v>
      </c>
      <c r="E277" t="str">
        <f>HYPERLINK("http://imap3images.s3-website-us-east-1.amazonaws.com/1492248/p/IMG_2348.jpg", "View")</f>
        <v>View</v>
      </c>
      <c r="F277" t="s">
        <v>235</v>
      </c>
      <c r="G277" t="s">
        <v>88</v>
      </c>
      <c r="H277">
        <v>914922</v>
      </c>
      <c r="I277" t="str">
        <f t="shared" si="7"/>
        <v>View</v>
      </c>
      <c r="J277" t="s">
        <v>236</v>
      </c>
      <c r="K277" t="s">
        <v>237</v>
      </c>
      <c r="L277">
        <v>914922</v>
      </c>
      <c r="M277">
        <v>9.17</v>
      </c>
      <c r="N277">
        <v>10.02</v>
      </c>
      <c r="O277">
        <v>1</v>
      </c>
      <c r="P277" t="s">
        <v>25</v>
      </c>
      <c r="Q277" t="s">
        <v>48</v>
      </c>
      <c r="R277">
        <v>76.73</v>
      </c>
      <c r="S277">
        <v>31.94</v>
      </c>
      <c r="T277" t="s">
        <v>27</v>
      </c>
      <c r="U277" t="s">
        <v>27</v>
      </c>
      <c r="V277" t="s">
        <v>29</v>
      </c>
      <c r="W277" t="s">
        <v>242</v>
      </c>
    </row>
    <row r="278" spans="1:25" x14ac:dyDescent="0.3">
      <c r="A278">
        <v>26</v>
      </c>
      <c r="B278" t="str">
        <f>HYPERLINK("https://imapinvasives.natureserve.org/imap/services/page/Presence/1328272.html", "View")</f>
        <v>View</v>
      </c>
      <c r="C278">
        <v>1328272</v>
      </c>
      <c r="D278">
        <v>1341428</v>
      </c>
      <c r="E278" t="str">
        <f>HYPERLINK("http://imap3images.s3-website-us-east-1.amazonaws.com/1341428/p/imap_app_photo_1683551777725.jpg", "View")</f>
        <v>View</v>
      </c>
      <c r="F278" t="s">
        <v>235</v>
      </c>
      <c r="G278" t="s">
        <v>88</v>
      </c>
      <c r="H278">
        <v>914922</v>
      </c>
      <c r="I278" t="str">
        <f t="shared" si="7"/>
        <v>View</v>
      </c>
      <c r="J278" t="s">
        <v>236</v>
      </c>
      <c r="K278" t="s">
        <v>237</v>
      </c>
      <c r="L278">
        <v>914922</v>
      </c>
      <c r="M278">
        <v>7.89</v>
      </c>
      <c r="N278">
        <v>97.62</v>
      </c>
      <c r="O278">
        <v>1</v>
      </c>
      <c r="P278" t="s">
        <v>25</v>
      </c>
      <c r="Q278" t="s">
        <v>48</v>
      </c>
      <c r="R278">
        <v>76.73</v>
      </c>
      <c r="S278">
        <v>31.94</v>
      </c>
      <c r="T278" t="s">
        <v>28</v>
      </c>
      <c r="U278" t="s">
        <v>27</v>
      </c>
      <c r="V278" t="s">
        <v>34</v>
      </c>
      <c r="W278" t="s">
        <v>241</v>
      </c>
    </row>
    <row r="279" spans="1:25" x14ac:dyDescent="0.3">
      <c r="A279">
        <v>27</v>
      </c>
      <c r="B279" t="str">
        <f>HYPERLINK("https://imapinvasives.natureserve.org/imap/services/page/Presence/1327737.html", "View")</f>
        <v>View</v>
      </c>
      <c r="C279">
        <v>1327737</v>
      </c>
      <c r="D279">
        <v>1340719</v>
      </c>
      <c r="E279" t="str">
        <f>HYPERLINK("http://imap3images.s3-website-us-east-1.amazonaws.com/1340719/p/imap_app_photo_1683153735836.jpg", "View")</f>
        <v>View</v>
      </c>
      <c r="F279" t="s">
        <v>235</v>
      </c>
      <c r="G279" t="s">
        <v>88</v>
      </c>
      <c r="H279">
        <v>914922</v>
      </c>
      <c r="I279" t="str">
        <f t="shared" si="7"/>
        <v>View</v>
      </c>
      <c r="J279" t="s">
        <v>236</v>
      </c>
      <c r="K279" t="s">
        <v>237</v>
      </c>
      <c r="L279">
        <v>914922</v>
      </c>
      <c r="M279">
        <v>48.62</v>
      </c>
      <c r="N279">
        <v>98.56</v>
      </c>
      <c r="O279">
        <v>1</v>
      </c>
      <c r="P279" t="s">
        <v>25</v>
      </c>
      <c r="Q279" t="s">
        <v>48</v>
      </c>
      <c r="R279">
        <v>76.73</v>
      </c>
      <c r="S279">
        <v>31.94</v>
      </c>
      <c r="T279" t="s">
        <v>28</v>
      </c>
      <c r="U279" t="s">
        <v>28</v>
      </c>
      <c r="V279" t="s">
        <v>34</v>
      </c>
      <c r="W279" t="s">
        <v>241</v>
      </c>
    </row>
    <row r="280" spans="1:25" x14ac:dyDescent="0.3">
      <c r="A280">
        <v>28</v>
      </c>
      <c r="B280" t="str">
        <f>HYPERLINK("https://imapinvasives.natureserve.org/imap/services/page/Presence/1409183.html", "View")</f>
        <v>View</v>
      </c>
      <c r="C280">
        <v>1409183</v>
      </c>
      <c r="D280">
        <v>1421586</v>
      </c>
      <c r="E280" t="str">
        <f>HYPERLINK("http://imap3images.s3-website-us-east-1.amazonaws.com/1421586/p/PXL_20240523_152323660.jpg", "View")</f>
        <v>View</v>
      </c>
      <c r="F280" t="s">
        <v>235</v>
      </c>
      <c r="G280" t="s">
        <v>88</v>
      </c>
      <c r="H280">
        <v>914922</v>
      </c>
      <c r="I280" t="str">
        <f t="shared" si="7"/>
        <v>View</v>
      </c>
      <c r="J280" t="s">
        <v>236</v>
      </c>
      <c r="K280" t="s">
        <v>237</v>
      </c>
      <c r="L280">
        <v>914922</v>
      </c>
      <c r="M280">
        <v>9.17</v>
      </c>
      <c r="N280">
        <v>72.209999999999994</v>
      </c>
      <c r="O280">
        <v>1</v>
      </c>
      <c r="P280" t="s">
        <v>25</v>
      </c>
      <c r="Q280" t="s">
        <v>48</v>
      </c>
      <c r="R280">
        <v>76.73</v>
      </c>
      <c r="S280">
        <v>31.94</v>
      </c>
      <c r="T280" t="s">
        <v>27</v>
      </c>
      <c r="U280" t="s">
        <v>27</v>
      </c>
      <c r="V280" t="s">
        <v>29</v>
      </c>
      <c r="W280" t="s">
        <v>241</v>
      </c>
    </row>
    <row r="281" spans="1:25" x14ac:dyDescent="0.3">
      <c r="A281">
        <v>29</v>
      </c>
      <c r="B281" t="str">
        <f>HYPERLINK("https://imapinvasives.natureserve.org/imap/services/page/Presence/1284922.html", "View")</f>
        <v>View</v>
      </c>
      <c r="C281">
        <v>1284922</v>
      </c>
      <c r="D281">
        <v>1294502</v>
      </c>
      <c r="E281" t="str">
        <f>HYPERLINK("http://imap3images.s3-website-us-east-1.amazonaws.com/1294502/p/imap_app_photo_1659538215481.jpg", "View")</f>
        <v>View</v>
      </c>
      <c r="F281" t="s">
        <v>235</v>
      </c>
      <c r="G281" t="s">
        <v>88</v>
      </c>
      <c r="H281">
        <v>914922</v>
      </c>
      <c r="I281" t="str">
        <f>HYPERLINK("https://www.inaturalist.org/taxa/48502-Cercis-canadensis", "View")</f>
        <v>View</v>
      </c>
      <c r="J281" t="s">
        <v>238</v>
      </c>
      <c r="K281" t="s">
        <v>239</v>
      </c>
      <c r="L281">
        <v>48502</v>
      </c>
      <c r="M281">
        <v>13.88</v>
      </c>
      <c r="N281">
        <v>92.94</v>
      </c>
      <c r="O281">
        <v>0</v>
      </c>
      <c r="P281" t="s">
        <v>32</v>
      </c>
      <c r="Q281" t="s">
        <v>48</v>
      </c>
      <c r="R281">
        <v>76.73</v>
      </c>
      <c r="S281">
        <v>31.94</v>
      </c>
      <c r="T281" t="s">
        <v>28</v>
      </c>
      <c r="U281" t="s">
        <v>27</v>
      </c>
      <c r="V281" t="s">
        <v>29</v>
      </c>
      <c r="W281" t="s">
        <v>242</v>
      </c>
      <c r="X281" t="s">
        <v>234</v>
      </c>
      <c r="Y281" t="s">
        <v>243</v>
      </c>
    </row>
    <row r="282" spans="1:25" x14ac:dyDescent="0.3">
      <c r="A282">
        <v>30</v>
      </c>
      <c r="B282" t="str">
        <f>HYPERLINK("https://imapinvasives.natureserve.org/imap/services/page/Presence/1460891.html", "View")</f>
        <v>View</v>
      </c>
      <c r="C282">
        <v>1460891</v>
      </c>
      <c r="D282">
        <v>1475922</v>
      </c>
      <c r="E282" t="str">
        <f>HYPERLINK("http://imap3images.s3-website-us-east-1.amazonaws.com/1475922/p/imap_app_photo_1729877867819.jpg", "View")</f>
        <v>View</v>
      </c>
      <c r="F282" t="s">
        <v>235</v>
      </c>
      <c r="G282" t="s">
        <v>88</v>
      </c>
      <c r="H282">
        <v>914922</v>
      </c>
      <c r="I282" t="str">
        <f>HYPERLINK("https://www.inaturalist.org/taxa/914922-Reynoutria-japonica", "View")</f>
        <v>View</v>
      </c>
      <c r="J282" t="s">
        <v>236</v>
      </c>
      <c r="K282" t="s">
        <v>237</v>
      </c>
      <c r="L282">
        <v>914922</v>
      </c>
      <c r="M282">
        <v>21.87</v>
      </c>
      <c r="N282">
        <v>93.66</v>
      </c>
      <c r="O282">
        <v>1</v>
      </c>
      <c r="P282" t="s">
        <v>25</v>
      </c>
      <c r="Q282" t="s">
        <v>48</v>
      </c>
      <c r="R282">
        <v>76.73</v>
      </c>
      <c r="S282">
        <v>31.94</v>
      </c>
      <c r="T282" t="s">
        <v>28</v>
      </c>
      <c r="U282" t="s">
        <v>27</v>
      </c>
      <c r="V282" t="s">
        <v>34</v>
      </c>
      <c r="W282" t="s">
        <v>241</v>
      </c>
    </row>
    <row r="283" spans="1:25" x14ac:dyDescent="0.3">
      <c r="A283">
        <v>31</v>
      </c>
      <c r="B283" t="str">
        <f>HYPERLINK("https://imapinvasives.natureserve.org/imap/services/page/Presence/1282093.html", "View")</f>
        <v>View</v>
      </c>
      <c r="C283">
        <v>1282093</v>
      </c>
      <c r="D283">
        <v>1291537</v>
      </c>
      <c r="E283" t="str">
        <f>HYPERLINK("http://imap3images.s3-website-us-east-1.amazonaws.com/1291537/p/imap_app_photo_1657625574768.jpg", "View")</f>
        <v>View</v>
      </c>
      <c r="F283" t="s">
        <v>235</v>
      </c>
      <c r="G283" t="s">
        <v>88</v>
      </c>
      <c r="H283">
        <v>914922</v>
      </c>
      <c r="I283" t="str">
        <f>HYPERLINK("https://www.inaturalist.org/taxa/914922-Reynoutria-japonica", "View")</f>
        <v>View</v>
      </c>
      <c r="J283" t="s">
        <v>236</v>
      </c>
      <c r="K283" t="s">
        <v>237</v>
      </c>
      <c r="L283">
        <v>914922</v>
      </c>
      <c r="M283">
        <v>21.87</v>
      </c>
      <c r="N283">
        <v>55.64</v>
      </c>
      <c r="O283">
        <v>1</v>
      </c>
      <c r="P283" t="s">
        <v>25</v>
      </c>
      <c r="Q283" t="s">
        <v>48</v>
      </c>
      <c r="R283">
        <v>76.73</v>
      </c>
      <c r="S283">
        <v>31.94</v>
      </c>
      <c r="T283" t="s">
        <v>27</v>
      </c>
      <c r="U283" t="s">
        <v>27</v>
      </c>
      <c r="V283" t="s">
        <v>29</v>
      </c>
      <c r="W283" t="s">
        <v>241</v>
      </c>
      <c r="Y283" t="s">
        <v>244</v>
      </c>
    </row>
    <row r="284" spans="1:25" x14ac:dyDescent="0.3">
      <c r="A284">
        <v>32</v>
      </c>
      <c r="B284" t="str">
        <f>HYPERLINK("https://imapinvasives.natureserve.org/imap/services/page/Presence/1414517.html", "View")</f>
        <v>View</v>
      </c>
      <c r="C284">
        <v>1414517</v>
      </c>
      <c r="D284">
        <v>1428048</v>
      </c>
      <c r="E284" t="str">
        <f>HYPERLINK("http://imap3images.s3-website-us-east-1.amazonaws.com/1428048/p/imap_app_photo_1720026039670.jpg", "View")</f>
        <v>View</v>
      </c>
      <c r="F284" t="s">
        <v>235</v>
      </c>
      <c r="G284" t="s">
        <v>88</v>
      </c>
      <c r="H284">
        <v>914922</v>
      </c>
      <c r="I284" t="str">
        <f>HYPERLINK("https://www.inaturalist.org/taxa/914922-Reynoutria-japonica", "View")</f>
        <v>View</v>
      </c>
      <c r="J284" t="s">
        <v>236</v>
      </c>
      <c r="K284" t="s">
        <v>237</v>
      </c>
      <c r="L284">
        <v>914922</v>
      </c>
      <c r="M284">
        <v>12.85</v>
      </c>
      <c r="N284">
        <v>95.59</v>
      </c>
      <c r="O284">
        <v>1</v>
      </c>
      <c r="P284" t="s">
        <v>25</v>
      </c>
      <c r="Q284" t="s">
        <v>48</v>
      </c>
      <c r="R284">
        <v>76.73</v>
      </c>
      <c r="S284">
        <v>31.94</v>
      </c>
      <c r="T284" t="s">
        <v>28</v>
      </c>
      <c r="U284" t="s">
        <v>27</v>
      </c>
      <c r="V284" t="s">
        <v>34</v>
      </c>
      <c r="W284" t="s">
        <v>241</v>
      </c>
    </row>
    <row r="285" spans="1:25" x14ac:dyDescent="0.3">
      <c r="A285">
        <v>84</v>
      </c>
      <c r="B285" t="str">
        <f>HYPERLINK("https://imapinvasives.natureserve.org/imap/services/page/Presence/1069095.html", "View")</f>
        <v>View</v>
      </c>
      <c r="C285">
        <v>1069095</v>
      </c>
      <c r="D285">
        <v>1073946</v>
      </c>
      <c r="E285" t="str">
        <f>HYPERLINK("http://imap3images.s3-website-us-east-1.amazonaws.com/1073946/p/imap_app_photo_1600097331123.jpg", "View")</f>
        <v>View</v>
      </c>
      <c r="F285" t="s">
        <v>246</v>
      </c>
      <c r="G285" t="s">
        <v>247</v>
      </c>
      <c r="H285">
        <v>324726</v>
      </c>
      <c r="I285" t="str">
        <f t="shared" ref="I285:I287" si="8">HYPERLINK("https://www.inaturalist.org/taxa/324726-Lycorma-delicatula", "View")</f>
        <v>View</v>
      </c>
      <c r="J285" t="s">
        <v>246</v>
      </c>
      <c r="K285" t="s">
        <v>248</v>
      </c>
      <c r="L285">
        <v>324726</v>
      </c>
      <c r="M285">
        <v>81.28</v>
      </c>
      <c r="N285">
        <v>99.81</v>
      </c>
      <c r="O285">
        <v>1</v>
      </c>
      <c r="P285" t="s">
        <v>25</v>
      </c>
      <c r="Q285" s="3">
        <v>3</v>
      </c>
      <c r="R285">
        <v>92.79</v>
      </c>
      <c r="S285">
        <v>72.02</v>
      </c>
      <c r="T285" t="s">
        <v>28</v>
      </c>
      <c r="U285" t="s">
        <v>28</v>
      </c>
      <c r="V285" t="s">
        <v>34</v>
      </c>
      <c r="W285" t="s">
        <v>241</v>
      </c>
      <c r="X285" t="s">
        <v>232</v>
      </c>
    </row>
    <row r="286" spans="1:25" x14ac:dyDescent="0.3">
      <c r="A286">
        <v>85</v>
      </c>
      <c r="B286" t="str">
        <f>HYPERLINK("https://imapinvasives.natureserve.org/imap/services/page/Presence/1355257.html", "View")</f>
        <v>View</v>
      </c>
      <c r="C286">
        <v>1355257</v>
      </c>
      <c r="D286">
        <v>1372889</v>
      </c>
      <c r="E286" t="str">
        <f>HYPERLINK("http://imap3images.s3-website-us-east-1.amazonaws.com/1372889/p/6BA1EA23-BFF7-4AC4-B273-898D5E0A9417.jpeg", "View")</f>
        <v>View</v>
      </c>
      <c r="F286" t="s">
        <v>246</v>
      </c>
      <c r="G286" t="s">
        <v>247</v>
      </c>
      <c r="H286">
        <v>324726</v>
      </c>
      <c r="I286" t="str">
        <f t="shared" si="8"/>
        <v>View</v>
      </c>
      <c r="J286" t="s">
        <v>246</v>
      </c>
      <c r="K286" t="s">
        <v>248</v>
      </c>
      <c r="L286">
        <v>324726</v>
      </c>
      <c r="M286">
        <v>89.66</v>
      </c>
      <c r="N286">
        <v>96.96</v>
      </c>
      <c r="O286">
        <v>1</v>
      </c>
      <c r="P286" t="s">
        <v>25</v>
      </c>
      <c r="Q286" s="3">
        <v>3</v>
      </c>
      <c r="R286">
        <v>92.79</v>
      </c>
      <c r="S286">
        <v>72.02</v>
      </c>
      <c r="T286" t="s">
        <v>28</v>
      </c>
      <c r="U286" t="s">
        <v>28</v>
      </c>
      <c r="V286" t="s">
        <v>34</v>
      </c>
      <c r="W286" t="s">
        <v>241</v>
      </c>
      <c r="X286" t="s">
        <v>232</v>
      </c>
    </row>
    <row r="287" spans="1:25" x14ac:dyDescent="0.3">
      <c r="A287">
        <v>86</v>
      </c>
      <c r="B287" t="str">
        <f>HYPERLINK("https://imapinvasives.natureserve.org/imap/services/page/Presence/1291782.html", "View")</f>
        <v>View</v>
      </c>
      <c r="C287">
        <v>1291782</v>
      </c>
      <c r="D287">
        <v>1301986</v>
      </c>
      <c r="E287" t="str">
        <f>HYPERLINK("http://imap3images.s3-website-us-east-1.amazonaws.com/1301986/p/inat_photo_229480548.jpg", "View")</f>
        <v>View</v>
      </c>
      <c r="F287" t="s">
        <v>246</v>
      </c>
      <c r="G287" t="s">
        <v>247</v>
      </c>
      <c r="H287">
        <v>324726</v>
      </c>
      <c r="I287" t="str">
        <f t="shared" si="8"/>
        <v>View</v>
      </c>
      <c r="J287" t="s">
        <v>246</v>
      </c>
      <c r="K287" t="s">
        <v>248</v>
      </c>
      <c r="L287">
        <v>324726</v>
      </c>
      <c r="M287">
        <v>64.569999999999993</v>
      </c>
      <c r="N287">
        <v>99.87</v>
      </c>
      <c r="O287">
        <v>1</v>
      </c>
      <c r="P287" t="s">
        <v>25</v>
      </c>
      <c r="Q287" s="3">
        <v>3</v>
      </c>
      <c r="R287">
        <v>92.79</v>
      </c>
      <c r="S287">
        <v>72.02</v>
      </c>
      <c r="T287" t="s">
        <v>28</v>
      </c>
      <c r="U287" t="s">
        <v>27</v>
      </c>
      <c r="V287" t="s">
        <v>29</v>
      </c>
      <c r="W287" t="s">
        <v>241</v>
      </c>
    </row>
    <row r="288" spans="1:25" x14ac:dyDescent="0.3">
      <c r="A288">
        <v>1</v>
      </c>
      <c r="B288" t="str">
        <f>HYPERLINK("https://imapinvasives.natureserve.org/imap/services/page/Presence/1354106.html", "View")</f>
        <v>View</v>
      </c>
      <c r="C288">
        <v>1354106</v>
      </c>
      <c r="D288">
        <v>1371533</v>
      </c>
      <c r="E288" t="str">
        <f>HYPERLINK("http://imap3images.s3-website-us-east-1.amazonaws.com/1371533/p/imap_app_photo_1694986917836.jpg", "View")</f>
        <v>View</v>
      </c>
      <c r="F288" t="s">
        <v>249</v>
      </c>
      <c r="G288" t="s">
        <v>250</v>
      </c>
      <c r="H288">
        <v>57278</v>
      </c>
      <c r="I288" t="str">
        <f>HYPERLINK("https://www.inaturalist.org/taxa/57278-Ailanthus-altissima", "View")</f>
        <v>View</v>
      </c>
      <c r="J288" t="s">
        <v>249</v>
      </c>
      <c r="K288" t="s">
        <v>251</v>
      </c>
      <c r="L288">
        <v>57278</v>
      </c>
      <c r="M288">
        <v>56.98</v>
      </c>
      <c r="N288">
        <v>56.81</v>
      </c>
      <c r="O288">
        <v>1</v>
      </c>
      <c r="P288" t="s">
        <v>25</v>
      </c>
      <c r="Q288" t="s">
        <v>48</v>
      </c>
      <c r="R288">
        <v>87.09</v>
      </c>
      <c r="S288">
        <v>32.68</v>
      </c>
      <c r="T288" t="s">
        <v>27</v>
      </c>
      <c r="U288" t="s">
        <v>28</v>
      </c>
      <c r="V288" t="s">
        <v>29</v>
      </c>
      <c r="W288" t="s">
        <v>241</v>
      </c>
    </row>
    <row r="289" spans="1:23" x14ac:dyDescent="0.3">
      <c r="A289">
        <v>2</v>
      </c>
      <c r="B289" t="str">
        <f>HYPERLINK("https://imapinvasives.natureserve.org/imap/services/page/Presence/1438570.html", "View")</f>
        <v>View</v>
      </c>
      <c r="C289">
        <v>1438570</v>
      </c>
      <c r="D289">
        <v>1452828</v>
      </c>
      <c r="E289" t="str">
        <f>HYPERLINK("http://imap3images.s3-website-us-east-1.amazonaws.com/1452828/p/20240801_180644.jpg", "View")</f>
        <v>View</v>
      </c>
      <c r="F289" t="s">
        <v>249</v>
      </c>
      <c r="G289" t="s">
        <v>250</v>
      </c>
      <c r="H289">
        <v>57278</v>
      </c>
      <c r="I289" t="str">
        <f>HYPERLINK("https://www.inaturalist.org/taxa/57278-Ailanthus-altissima", "View")</f>
        <v>View</v>
      </c>
      <c r="J289" t="s">
        <v>249</v>
      </c>
      <c r="K289" t="s">
        <v>251</v>
      </c>
      <c r="L289">
        <v>57278</v>
      </c>
      <c r="M289">
        <v>56.98</v>
      </c>
      <c r="N289">
        <v>95.97</v>
      </c>
      <c r="O289">
        <v>1</v>
      </c>
      <c r="P289" t="s">
        <v>25</v>
      </c>
      <c r="Q289" t="s">
        <v>48</v>
      </c>
      <c r="R289">
        <v>87.09</v>
      </c>
      <c r="S289">
        <v>32.68</v>
      </c>
      <c r="T289" t="s">
        <v>28</v>
      </c>
      <c r="U289" t="s">
        <v>28</v>
      </c>
      <c r="V289" t="s">
        <v>34</v>
      </c>
      <c r="W289" t="s">
        <v>241</v>
      </c>
    </row>
    <row r="290" spans="1:23" x14ac:dyDescent="0.3">
      <c r="A290">
        <v>3</v>
      </c>
      <c r="B290" t="str">
        <f>HYPERLINK("https://imapinvasives.natureserve.org/imap/services/page/Presence/1177130.html", "View")</f>
        <v>View</v>
      </c>
      <c r="C290">
        <v>1177130</v>
      </c>
      <c r="D290">
        <v>1184668</v>
      </c>
      <c r="E290" t="str">
        <f>HYPERLINK("http://imap3images.s3-website-us-east-1.amazonaws.com/1184668/p/imap_app_photo_1634306965628.jpg", "View")</f>
        <v>View</v>
      </c>
      <c r="F290" t="s">
        <v>249</v>
      </c>
      <c r="G290" t="s">
        <v>250</v>
      </c>
      <c r="H290">
        <v>57278</v>
      </c>
      <c r="I290" t="str">
        <f>HYPERLINK("https://www.inaturalist.org/taxa/47726-Acer-negundo", "View")</f>
        <v>View</v>
      </c>
      <c r="J290" t="s">
        <v>252</v>
      </c>
      <c r="K290" t="s">
        <v>253</v>
      </c>
      <c r="L290">
        <v>47726</v>
      </c>
      <c r="M290">
        <v>8.93</v>
      </c>
      <c r="N290">
        <v>18.559999999999999</v>
      </c>
      <c r="O290">
        <v>0</v>
      </c>
      <c r="P290" t="s">
        <v>32</v>
      </c>
      <c r="Q290" t="s">
        <v>48</v>
      </c>
      <c r="R290">
        <v>87.09</v>
      </c>
      <c r="S290">
        <v>32.68</v>
      </c>
      <c r="T290" t="s">
        <v>27</v>
      </c>
      <c r="U290" t="s">
        <v>27</v>
      </c>
      <c r="V290" t="s">
        <v>29</v>
      </c>
      <c r="W290" t="s">
        <v>242</v>
      </c>
    </row>
    <row r="291" spans="1:23" x14ac:dyDescent="0.3">
      <c r="A291">
        <v>4</v>
      </c>
      <c r="B291" t="str">
        <f>HYPERLINK("https://imapinvasives.natureserve.org/imap/services/page/Presence/1309149.html", "View")</f>
        <v>View</v>
      </c>
      <c r="C291">
        <v>1309149</v>
      </c>
      <c r="D291">
        <v>1319682</v>
      </c>
      <c r="E291" t="str">
        <f>HYPERLINK("http://imap3images.s3-website-us-east-1.amazonaws.com/1319682/p/imap_app_photo_1670008785840.jpg", "View")</f>
        <v>View</v>
      </c>
      <c r="F291" t="s">
        <v>249</v>
      </c>
      <c r="G291" t="s">
        <v>250</v>
      </c>
      <c r="H291">
        <v>57278</v>
      </c>
      <c r="I291" t="str">
        <f>HYPERLINK("https://www.inaturalist.org/taxa/57278-Ailanthus-altissima", "View")</f>
        <v>View</v>
      </c>
      <c r="J291" t="s">
        <v>249</v>
      </c>
      <c r="K291" t="s">
        <v>251</v>
      </c>
      <c r="L291">
        <v>57278</v>
      </c>
      <c r="M291">
        <v>56.98</v>
      </c>
      <c r="N291">
        <v>14.67</v>
      </c>
      <c r="O291">
        <v>1</v>
      </c>
      <c r="P291" t="s">
        <v>25</v>
      </c>
      <c r="Q291" t="s">
        <v>48</v>
      </c>
      <c r="R291">
        <v>87.09</v>
      </c>
      <c r="S291">
        <v>32.68</v>
      </c>
      <c r="T291" t="s">
        <v>27</v>
      </c>
      <c r="U291" t="s">
        <v>28</v>
      </c>
      <c r="V291" t="s">
        <v>29</v>
      </c>
      <c r="W291" t="s">
        <v>241</v>
      </c>
    </row>
    <row r="292" spans="1:23" x14ac:dyDescent="0.3">
      <c r="A292">
        <v>6</v>
      </c>
      <c r="B292" t="str">
        <f>HYPERLINK("https://imapinvasives.natureserve.org/imap/services/page/Presence/1163997.html", "View")</f>
        <v>View</v>
      </c>
      <c r="C292">
        <v>1163997</v>
      </c>
      <c r="D292">
        <v>1171227</v>
      </c>
      <c r="E292" t="str">
        <f>HYPERLINK("http://imap3images.s3-website-us-east-1.amazonaws.com/1171227/p/imap_app_photo_1631908375276.jpg", "View")</f>
        <v>View</v>
      </c>
      <c r="F292" t="s">
        <v>249</v>
      </c>
      <c r="G292" t="s">
        <v>250</v>
      </c>
      <c r="H292">
        <v>57278</v>
      </c>
      <c r="I292" t="str">
        <f>HYPERLINK("https://www.inaturalist.org/taxa/57278-Ailanthus-altissima", "View")</f>
        <v>View</v>
      </c>
      <c r="J292" t="s">
        <v>249</v>
      </c>
      <c r="K292" t="s">
        <v>251</v>
      </c>
      <c r="L292">
        <v>57278</v>
      </c>
      <c r="M292">
        <v>56.98</v>
      </c>
      <c r="N292">
        <v>57.12</v>
      </c>
      <c r="O292">
        <v>1</v>
      </c>
      <c r="P292" t="s">
        <v>25</v>
      </c>
      <c r="Q292" t="s">
        <v>48</v>
      </c>
      <c r="R292">
        <v>87.09</v>
      </c>
      <c r="S292">
        <v>32.68</v>
      </c>
      <c r="T292" t="s">
        <v>27</v>
      </c>
      <c r="U292" t="s">
        <v>28</v>
      </c>
      <c r="V292" t="s">
        <v>29</v>
      </c>
      <c r="W292" t="s">
        <v>242</v>
      </c>
    </row>
    <row r="293" spans="1:23" x14ac:dyDescent="0.3">
      <c r="A293">
        <v>8</v>
      </c>
      <c r="B293" t="str">
        <f>HYPERLINK("https://imapinvasives.natureserve.org/imap/services/page/Presence/1166682.html", "View")</f>
        <v>View</v>
      </c>
      <c r="C293">
        <v>1166682</v>
      </c>
      <c r="D293">
        <v>1174009</v>
      </c>
      <c r="E293" t="str">
        <f>HYPERLINK("http://imap3images.s3-website-us-east-1.amazonaws.com/1174009/p/imap_app_photo_1633210259942.jpg", "View")</f>
        <v>View</v>
      </c>
      <c r="F293" t="s">
        <v>249</v>
      </c>
      <c r="G293" t="s">
        <v>250</v>
      </c>
      <c r="H293">
        <v>57278</v>
      </c>
      <c r="I293" t="str">
        <f>HYPERLINK("https://www.inaturalist.org/taxa/57278-Ailanthus-altissima", "View")</f>
        <v>View</v>
      </c>
      <c r="J293" t="s">
        <v>249</v>
      </c>
      <c r="K293" t="s">
        <v>251</v>
      </c>
      <c r="L293">
        <v>57278</v>
      </c>
      <c r="M293">
        <v>9.57</v>
      </c>
      <c r="N293">
        <v>11.27</v>
      </c>
      <c r="O293">
        <v>1</v>
      </c>
      <c r="P293" t="s">
        <v>25</v>
      </c>
      <c r="Q293" t="s">
        <v>48</v>
      </c>
      <c r="R293">
        <v>87.09</v>
      </c>
      <c r="S293">
        <v>32.68</v>
      </c>
      <c r="T293" t="s">
        <v>27</v>
      </c>
      <c r="U293" t="s">
        <v>27</v>
      </c>
      <c r="V293" t="s">
        <v>29</v>
      </c>
      <c r="W293" t="s">
        <v>242</v>
      </c>
    </row>
    <row r="294" spans="1:23" x14ac:dyDescent="0.3">
      <c r="A294">
        <v>9</v>
      </c>
      <c r="B294" t="str">
        <f>HYPERLINK("https://imapinvasives.natureserve.org/imap/services/page/Presence/1138692.html", "View")</f>
        <v>View</v>
      </c>
      <c r="C294">
        <v>1138692</v>
      </c>
      <c r="D294">
        <v>1145133</v>
      </c>
      <c r="E294" t="str">
        <f>HYPERLINK("http://imap3images.s3-website-us-east-1.amazonaws.com/1145133/p/imap_app_photo_1621789976621.jpg", "View")</f>
        <v>View</v>
      </c>
      <c r="F294" t="s">
        <v>249</v>
      </c>
      <c r="G294" t="s">
        <v>250</v>
      </c>
      <c r="H294">
        <v>57278</v>
      </c>
      <c r="I294" t="str">
        <f>HYPERLINK("https://www.inaturalist.org/taxa/53582-Liriodendron-tulipifera", "View")</f>
        <v>View</v>
      </c>
      <c r="J294" t="s">
        <v>254</v>
      </c>
      <c r="K294" t="s">
        <v>255</v>
      </c>
      <c r="L294">
        <v>53582</v>
      </c>
      <c r="M294">
        <v>26.34</v>
      </c>
      <c r="N294">
        <v>52.26</v>
      </c>
      <c r="O294">
        <v>0</v>
      </c>
      <c r="P294" t="s">
        <v>32</v>
      </c>
      <c r="Q294" t="s">
        <v>48</v>
      </c>
      <c r="R294">
        <v>87.09</v>
      </c>
      <c r="S294">
        <v>32.68</v>
      </c>
      <c r="T294" t="s">
        <v>27</v>
      </c>
      <c r="U294" t="s">
        <v>27</v>
      </c>
      <c r="V294" t="s">
        <v>29</v>
      </c>
      <c r="W294" t="s">
        <v>242</v>
      </c>
    </row>
    <row r="295" spans="1:23" x14ac:dyDescent="0.3">
      <c r="A295">
        <v>10</v>
      </c>
      <c r="B295" t="str">
        <f>HYPERLINK("https://imapinvasives.natureserve.org/imap/services/page/Presence/1152879.html", "View")</f>
        <v>View</v>
      </c>
      <c r="C295">
        <v>1152879</v>
      </c>
      <c r="D295">
        <v>1159828</v>
      </c>
      <c r="E295" t="str">
        <f>HYPERLINK("http://imap3images.s3-website-us-east-1.amazonaws.com/1159828/p/imap_app_photo_1627394039902.jpg", "View")</f>
        <v>View</v>
      </c>
      <c r="F295" t="s">
        <v>249</v>
      </c>
      <c r="G295" t="s">
        <v>250</v>
      </c>
      <c r="H295">
        <v>57278</v>
      </c>
      <c r="I295" t="str">
        <f>HYPERLINK("https://www.inaturalist.org/taxa/54504-Juglans-nigra", "View")</f>
        <v>View</v>
      </c>
      <c r="J295" t="s">
        <v>198</v>
      </c>
      <c r="K295" t="s">
        <v>199</v>
      </c>
      <c r="L295">
        <v>54504</v>
      </c>
      <c r="M295">
        <v>61.07</v>
      </c>
      <c r="N295">
        <v>94.46</v>
      </c>
      <c r="O295">
        <v>0</v>
      </c>
      <c r="P295" t="s">
        <v>32</v>
      </c>
      <c r="Q295" t="s">
        <v>48</v>
      </c>
      <c r="R295">
        <v>87.09</v>
      </c>
      <c r="S295">
        <v>32.68</v>
      </c>
      <c r="T295" t="s">
        <v>28</v>
      </c>
      <c r="U295" t="s">
        <v>28</v>
      </c>
      <c r="V295" t="s">
        <v>29</v>
      </c>
      <c r="W295" t="s">
        <v>242</v>
      </c>
    </row>
    <row r="296" spans="1:23" x14ac:dyDescent="0.3">
      <c r="A296">
        <v>11</v>
      </c>
      <c r="B296" t="str">
        <f>HYPERLINK("https://imapinvasives.natureserve.org/imap/services/page/Presence/525700.html", "View")</f>
        <v>View</v>
      </c>
      <c r="C296">
        <v>525700</v>
      </c>
      <c r="D296">
        <v>525700</v>
      </c>
      <c r="E296" s="2" t="str">
        <f>HYPERLINK("http://imap3images.s3-website-us-east-1.amazonaws.com/525700/p/photourl1_2018_05_22_malkaletsch_rr3e6edj.jpg", "View")</f>
        <v>View</v>
      </c>
      <c r="F296" t="s">
        <v>249</v>
      </c>
      <c r="G296" t="s">
        <v>250</v>
      </c>
      <c r="H296">
        <v>57278</v>
      </c>
      <c r="I296" t="str">
        <f>HYPERLINK("https://www.inaturalist.org/taxa/54791-Carya-ovata", "View")</f>
        <v>View</v>
      </c>
      <c r="J296" t="s">
        <v>256</v>
      </c>
      <c r="K296" t="s">
        <v>257</v>
      </c>
      <c r="L296">
        <v>54791</v>
      </c>
      <c r="M296">
        <v>49.72</v>
      </c>
      <c r="N296">
        <v>13.26</v>
      </c>
      <c r="O296">
        <v>0</v>
      </c>
      <c r="P296" t="s">
        <v>32</v>
      </c>
      <c r="Q296" t="s">
        <v>48</v>
      </c>
      <c r="R296">
        <v>87.09</v>
      </c>
      <c r="S296">
        <v>32.68</v>
      </c>
      <c r="T296" t="s">
        <v>27</v>
      </c>
      <c r="U296" t="s">
        <v>28</v>
      </c>
      <c r="V296" t="s">
        <v>29</v>
      </c>
      <c r="W296" t="s">
        <v>242</v>
      </c>
    </row>
    <row r="297" spans="1:23" x14ac:dyDescent="0.3">
      <c r="A297">
        <v>12</v>
      </c>
      <c r="B297" t="str">
        <f>HYPERLINK("https://imapinvasives.natureserve.org/imap/services/page/Presence/533389.html", "View")</f>
        <v>View</v>
      </c>
      <c r="C297">
        <v>533389</v>
      </c>
      <c r="D297">
        <v>533389</v>
      </c>
      <c r="E297" t="str">
        <f>HYPERLINK("http://imap3images.s3-website-us-east-1.amazonaws.com/533389/p/photourl1_2019_03_06_chrbolt_540w4zwt.jpg", "View")</f>
        <v>View</v>
      </c>
      <c r="F297" t="s">
        <v>249</v>
      </c>
      <c r="G297" t="s">
        <v>250</v>
      </c>
      <c r="H297">
        <v>57278</v>
      </c>
      <c r="I297" t="str">
        <f>HYPERLINK("https://www.inaturalist.org/taxa/54854-Tilia-americana", "View")</f>
        <v>View</v>
      </c>
      <c r="J297" t="s">
        <v>127</v>
      </c>
      <c r="K297" t="s">
        <v>128</v>
      </c>
      <c r="L297">
        <v>54854</v>
      </c>
      <c r="M297">
        <v>32</v>
      </c>
      <c r="N297">
        <v>28.46</v>
      </c>
      <c r="O297">
        <v>0</v>
      </c>
      <c r="P297" t="s">
        <v>32</v>
      </c>
      <c r="Q297" t="s">
        <v>48</v>
      </c>
      <c r="R297">
        <v>87.09</v>
      </c>
      <c r="S297">
        <v>32.68</v>
      </c>
      <c r="T297" t="s">
        <v>27</v>
      </c>
      <c r="U297" t="s">
        <v>27</v>
      </c>
      <c r="V297" t="s">
        <v>29</v>
      </c>
      <c r="W297" t="s">
        <v>242</v>
      </c>
    </row>
    <row r="298" spans="1:23" x14ac:dyDescent="0.3">
      <c r="A298">
        <v>13</v>
      </c>
      <c r="B298" t="str">
        <f>HYPERLINK("https://imapinvasives.natureserve.org/imap/services/page/Presence/1055428.html", "View")</f>
        <v>View</v>
      </c>
      <c r="C298">
        <v>1055428</v>
      </c>
      <c r="D298">
        <v>1059788</v>
      </c>
      <c r="E298" t="str">
        <f>HYPERLINK("http://imap3images.s3-website-us-east-1.amazonaws.com/1059788/p/imap_app_photo_1594577928594.jpg", "View")</f>
        <v>View</v>
      </c>
      <c r="F298" t="s">
        <v>249</v>
      </c>
      <c r="G298" t="s">
        <v>250</v>
      </c>
      <c r="H298">
        <v>57278</v>
      </c>
      <c r="I298" t="str">
        <f>HYPERLINK("https://www.inaturalist.org/taxa/56088-Robinia-pseudoacacia", "View")</f>
        <v>View</v>
      </c>
      <c r="J298" t="s">
        <v>210</v>
      </c>
      <c r="K298" t="s">
        <v>211</v>
      </c>
      <c r="L298">
        <v>56088</v>
      </c>
      <c r="M298">
        <v>31.9</v>
      </c>
      <c r="N298">
        <v>24.35</v>
      </c>
      <c r="O298">
        <v>0</v>
      </c>
      <c r="P298" t="s">
        <v>32</v>
      </c>
      <c r="Q298" t="s">
        <v>48</v>
      </c>
      <c r="R298">
        <v>87.09</v>
      </c>
      <c r="S298">
        <v>32.68</v>
      </c>
      <c r="T298" t="s">
        <v>27</v>
      </c>
      <c r="U298" t="s">
        <v>27</v>
      </c>
      <c r="V298" t="s">
        <v>29</v>
      </c>
      <c r="W298" t="s">
        <v>242</v>
      </c>
    </row>
    <row r="299" spans="1:23" x14ac:dyDescent="0.3">
      <c r="A299">
        <v>14</v>
      </c>
      <c r="B299" t="str">
        <f>HYPERLINK("https://imapinvasives.natureserve.org/imap/services/page/Presence/531719.html", "View")</f>
        <v>View</v>
      </c>
      <c r="C299">
        <v>531719</v>
      </c>
      <c r="D299">
        <v>531719</v>
      </c>
      <c r="E299" t="str">
        <f>HYPERLINK("http://imap3images.s3-website-us-east-1.amazonaws.com/531719/p/photourl4_2018_10_02_laumartin_8sfys85o.jpg", "View")</f>
        <v>View</v>
      </c>
      <c r="F299" t="s">
        <v>249</v>
      </c>
      <c r="G299" t="s">
        <v>250</v>
      </c>
      <c r="H299">
        <v>57278</v>
      </c>
      <c r="I299" t="str">
        <f>HYPERLINK("https://www.inaturalist.org/taxa/57278-Ailanthus-altissima", "View")</f>
        <v>View</v>
      </c>
      <c r="J299" t="s">
        <v>249</v>
      </c>
      <c r="K299" t="s">
        <v>251</v>
      </c>
      <c r="L299">
        <v>57278</v>
      </c>
      <c r="M299">
        <v>56.98</v>
      </c>
      <c r="N299">
        <v>78.05</v>
      </c>
      <c r="O299">
        <v>1</v>
      </c>
      <c r="P299" t="s">
        <v>25</v>
      </c>
      <c r="Q299" t="s">
        <v>48</v>
      </c>
      <c r="R299">
        <v>87.09</v>
      </c>
      <c r="S299">
        <v>32.68</v>
      </c>
      <c r="T299" t="s">
        <v>27</v>
      </c>
      <c r="U299" t="s">
        <v>28</v>
      </c>
      <c r="V299" t="s">
        <v>29</v>
      </c>
      <c r="W299" t="s">
        <v>242</v>
      </c>
    </row>
    <row r="300" spans="1:23" x14ac:dyDescent="0.3">
      <c r="A300">
        <v>15</v>
      </c>
      <c r="B300" t="str">
        <f>HYPERLINK("https://imapinvasives.natureserve.org/imap/services/page/Presence/1290951.html", "View")</f>
        <v>View</v>
      </c>
      <c r="C300">
        <v>1290951</v>
      </c>
      <c r="D300">
        <v>1301146</v>
      </c>
      <c r="E300" s="2" t="str">
        <f>HYPERLINK("http://imap3images.s3-website-us-east-1.amazonaws.com/1301146/p/imap_app_photo_1662049571285.jpg", "View")</f>
        <v>View</v>
      </c>
      <c r="F300" t="s">
        <v>249</v>
      </c>
      <c r="G300" t="s">
        <v>250</v>
      </c>
      <c r="H300">
        <v>57278</v>
      </c>
      <c r="I300" t="str">
        <f>HYPERLINK("https://www.inaturalist.org/taxa/54227-Fagus-sylvatica", "View")</f>
        <v>View</v>
      </c>
      <c r="J300" t="s">
        <v>156</v>
      </c>
      <c r="K300" t="s">
        <v>157</v>
      </c>
      <c r="L300">
        <v>54227</v>
      </c>
      <c r="M300">
        <v>44.05</v>
      </c>
      <c r="N300">
        <v>6.79</v>
      </c>
      <c r="O300">
        <v>0</v>
      </c>
      <c r="P300" t="s">
        <v>32</v>
      </c>
      <c r="Q300" t="s">
        <v>48</v>
      </c>
      <c r="R300">
        <v>87.09</v>
      </c>
      <c r="S300">
        <v>32.68</v>
      </c>
      <c r="T300" t="s">
        <v>27</v>
      </c>
      <c r="U300" t="s">
        <v>28</v>
      </c>
      <c r="V300" t="s">
        <v>29</v>
      </c>
      <c r="W300" t="s">
        <v>242</v>
      </c>
    </row>
    <row r="301" spans="1:23" x14ac:dyDescent="0.3">
      <c r="A301">
        <v>16</v>
      </c>
      <c r="B301" t="str">
        <f>HYPERLINK("https://imapinvasives.natureserve.org/imap/services/page/Presence/1336364.html", "View")</f>
        <v>View</v>
      </c>
      <c r="C301">
        <v>1336364</v>
      </c>
      <c r="D301">
        <v>1350738</v>
      </c>
      <c r="E301" t="str">
        <f>HYPERLINK("http://imap3images.s3-website-us-east-1.amazonaws.com/1350738/p/imap_app_photo_1687449517930.jpg", "View")</f>
        <v>View</v>
      </c>
      <c r="F301" t="s">
        <v>249</v>
      </c>
      <c r="G301" t="s">
        <v>250</v>
      </c>
      <c r="H301">
        <v>57278</v>
      </c>
      <c r="I301" t="str">
        <f>HYPERLINK("https://www.inaturalist.org/taxa/57278-Ailanthus-altissima", "View")</f>
        <v>View</v>
      </c>
      <c r="J301" t="s">
        <v>249</v>
      </c>
      <c r="K301" t="s">
        <v>251</v>
      </c>
      <c r="L301">
        <v>57278</v>
      </c>
      <c r="M301">
        <v>86.44</v>
      </c>
      <c r="N301">
        <v>98.45</v>
      </c>
      <c r="O301">
        <v>1</v>
      </c>
      <c r="P301" t="s">
        <v>25</v>
      </c>
      <c r="Q301" t="s">
        <v>48</v>
      </c>
      <c r="R301">
        <v>87.09</v>
      </c>
      <c r="S301">
        <v>32.68</v>
      </c>
      <c r="T301" t="s">
        <v>28</v>
      </c>
      <c r="U301" t="s">
        <v>28</v>
      </c>
      <c r="V301" t="s">
        <v>34</v>
      </c>
      <c r="W301" t="s">
        <v>241</v>
      </c>
    </row>
    <row r="302" spans="1:23" x14ac:dyDescent="0.3">
      <c r="A302">
        <v>17</v>
      </c>
      <c r="B302" t="str">
        <f>HYPERLINK("https://imapinvasives.natureserve.org/imap/services/page/Presence/1159531.html", "View")</f>
        <v>View</v>
      </c>
      <c r="C302">
        <v>1159531</v>
      </c>
      <c r="D302">
        <v>1166628</v>
      </c>
      <c r="E302" t="str">
        <f>HYPERLINK("http://imap3images.s3-website-us-east-1.amazonaws.com/1166628/p/imap_app_photo_1629583352615.jpg", "View")</f>
        <v>View</v>
      </c>
      <c r="F302" t="s">
        <v>249</v>
      </c>
      <c r="G302" t="s">
        <v>250</v>
      </c>
      <c r="H302">
        <v>57278</v>
      </c>
      <c r="I302" t="str">
        <f>HYPERLINK("https://www.inaturalist.org/taxa/57278-Ailanthus-altissima", "View")</f>
        <v>View</v>
      </c>
      <c r="J302" t="s">
        <v>249</v>
      </c>
      <c r="K302" t="s">
        <v>251</v>
      </c>
      <c r="L302">
        <v>57278</v>
      </c>
      <c r="M302">
        <v>15.79</v>
      </c>
      <c r="N302">
        <v>9.85</v>
      </c>
      <c r="O302">
        <v>1</v>
      </c>
      <c r="P302" t="s">
        <v>25</v>
      </c>
      <c r="Q302" t="s">
        <v>48</v>
      </c>
      <c r="R302">
        <v>87.09</v>
      </c>
      <c r="S302">
        <v>32.68</v>
      </c>
      <c r="T302" t="s">
        <v>27</v>
      </c>
      <c r="U302" t="s">
        <v>27</v>
      </c>
      <c r="V302" t="s">
        <v>29</v>
      </c>
      <c r="W302" t="s">
        <v>242</v>
      </c>
    </row>
    <row r="303" spans="1:23" x14ac:dyDescent="0.3">
      <c r="A303">
        <v>18</v>
      </c>
      <c r="B303" t="str">
        <f>HYPERLINK("https://imapinvasives.natureserve.org/imap/services/page/Presence/1166681.html", "View")</f>
        <v>View</v>
      </c>
      <c r="C303">
        <v>1166681</v>
      </c>
      <c r="D303">
        <v>1174008</v>
      </c>
      <c r="E303" t="str">
        <f>HYPERLINK("http://imap3images.s3-website-us-east-1.amazonaws.com/1174008/p/imap_app_photo_1633210251795.jpg", "View")</f>
        <v>View</v>
      </c>
      <c r="F303" t="s">
        <v>249</v>
      </c>
      <c r="G303" t="s">
        <v>250</v>
      </c>
      <c r="H303">
        <v>57278</v>
      </c>
      <c r="I303" t="str">
        <f>HYPERLINK("https://www.inaturalist.org/taxa/57278-Ailanthus-altissima", "View")</f>
        <v>View</v>
      </c>
      <c r="J303" t="s">
        <v>249</v>
      </c>
      <c r="K303" t="s">
        <v>251</v>
      </c>
      <c r="L303">
        <v>57278</v>
      </c>
      <c r="M303">
        <v>9.57</v>
      </c>
      <c r="N303">
        <v>37.979999999999997</v>
      </c>
      <c r="O303">
        <v>1</v>
      </c>
      <c r="P303" t="s">
        <v>25</v>
      </c>
      <c r="Q303" t="s">
        <v>48</v>
      </c>
      <c r="R303">
        <v>87.09</v>
      </c>
      <c r="S303">
        <v>32.68</v>
      </c>
      <c r="T303" t="s">
        <v>27</v>
      </c>
      <c r="U303" t="s">
        <v>27</v>
      </c>
      <c r="V303" t="s">
        <v>29</v>
      </c>
      <c r="W303" t="s">
        <v>242</v>
      </c>
    </row>
    <row r="304" spans="1:23" x14ac:dyDescent="0.3">
      <c r="A304">
        <v>19</v>
      </c>
      <c r="B304" t="str">
        <f>HYPERLINK("https://imapinvasives.natureserve.org/imap/services/page/Presence/1178665.html", "View")</f>
        <v>View</v>
      </c>
      <c r="C304">
        <v>1178665</v>
      </c>
      <c r="D304">
        <v>1186237</v>
      </c>
      <c r="E304" t="str">
        <f>HYPERLINK("http://imap3images.s3-website-us-east-1.amazonaws.com/1186237/p/20211021_132734.jpg", "View")</f>
        <v>View</v>
      </c>
      <c r="F304" t="s">
        <v>249</v>
      </c>
      <c r="G304" t="s">
        <v>250</v>
      </c>
      <c r="H304">
        <v>57278</v>
      </c>
      <c r="I304" t="str">
        <f>HYPERLINK("https://www.inaturalist.org/taxa/134212-Fraxinus-uhdei", "View")</f>
        <v>View</v>
      </c>
      <c r="J304" t="s">
        <v>258</v>
      </c>
      <c r="K304" t="s">
        <v>259</v>
      </c>
      <c r="L304">
        <v>134212</v>
      </c>
      <c r="M304">
        <v>0</v>
      </c>
      <c r="N304">
        <v>6.57</v>
      </c>
      <c r="O304">
        <v>0</v>
      </c>
      <c r="P304" t="s">
        <v>32</v>
      </c>
      <c r="Q304" t="s">
        <v>48</v>
      </c>
      <c r="R304">
        <v>87.09</v>
      </c>
      <c r="S304">
        <v>32.68</v>
      </c>
      <c r="T304" t="s">
        <v>27</v>
      </c>
      <c r="U304" t="s">
        <v>27</v>
      </c>
      <c r="V304" t="s">
        <v>29</v>
      </c>
      <c r="W304" t="s">
        <v>242</v>
      </c>
    </row>
    <row r="305" spans="1:23" x14ac:dyDescent="0.3">
      <c r="A305">
        <v>20</v>
      </c>
      <c r="B305" t="str">
        <f>HYPERLINK("https://imapinvasives.natureserve.org/imap/services/page/Presence/1309059.html", "View")</f>
        <v>View</v>
      </c>
      <c r="C305">
        <v>1309059</v>
      </c>
      <c r="D305">
        <v>1319586</v>
      </c>
      <c r="E305" t="str">
        <f>HYPERLINK("http://imap3images.s3-website-us-east-1.amazonaws.com/1319586/p/imap_app_photo_1669337006006.jpg", "View")</f>
        <v>View</v>
      </c>
      <c r="F305" t="s">
        <v>249</v>
      </c>
      <c r="G305" t="s">
        <v>250</v>
      </c>
      <c r="H305">
        <v>57278</v>
      </c>
      <c r="I305" t="str">
        <f>HYPERLINK("https://www.inaturalist.org/taxa/64540-Celastrus-orbiculatus", "View")</f>
        <v>View</v>
      </c>
      <c r="J305" t="s">
        <v>104</v>
      </c>
      <c r="K305" t="s">
        <v>105</v>
      </c>
      <c r="L305">
        <v>64540</v>
      </c>
      <c r="M305">
        <v>77.680000000000007</v>
      </c>
      <c r="N305">
        <v>20.87</v>
      </c>
      <c r="O305">
        <v>0</v>
      </c>
      <c r="P305" t="s">
        <v>32</v>
      </c>
      <c r="Q305" t="s">
        <v>48</v>
      </c>
      <c r="R305">
        <v>87.09</v>
      </c>
      <c r="S305">
        <v>32.68</v>
      </c>
      <c r="T305" t="s">
        <v>27</v>
      </c>
      <c r="U305" t="s">
        <v>28</v>
      </c>
      <c r="V305" t="s">
        <v>29</v>
      </c>
      <c r="W305" t="s">
        <v>242</v>
      </c>
    </row>
    <row r="306" spans="1:23" x14ac:dyDescent="0.3">
      <c r="A306">
        <v>21</v>
      </c>
      <c r="B306" t="str">
        <f>HYPERLINK("https://imapinvasives.natureserve.org/imap/services/page/Presence/528027.html", "View")</f>
        <v>View</v>
      </c>
      <c r="C306">
        <v>528027</v>
      </c>
      <c r="D306">
        <v>528027</v>
      </c>
      <c r="E306" t="str">
        <f>HYPERLINK("http://imap3images.s3-website-us-east-1.amazonaws.com/528027/p/photourl1_2018_07_03_stedimeglio_2o83vyk2.jpg", "View")</f>
        <v>View</v>
      </c>
      <c r="F306" t="s">
        <v>249</v>
      </c>
      <c r="G306" t="s">
        <v>250</v>
      </c>
      <c r="H306">
        <v>57278</v>
      </c>
      <c r="I306" t="str">
        <f>HYPERLINK("https://www.inaturalist.org/taxa/47726-Acer-negundo", "View")</f>
        <v>View</v>
      </c>
      <c r="J306" t="s">
        <v>252</v>
      </c>
      <c r="K306" t="s">
        <v>253</v>
      </c>
      <c r="L306">
        <v>47726</v>
      </c>
      <c r="M306">
        <v>23.23</v>
      </c>
      <c r="N306">
        <v>4.83</v>
      </c>
      <c r="O306">
        <v>0</v>
      </c>
      <c r="P306" t="s">
        <v>32</v>
      </c>
      <c r="Q306" t="s">
        <v>48</v>
      </c>
      <c r="R306">
        <v>87.09</v>
      </c>
      <c r="S306">
        <v>32.68</v>
      </c>
      <c r="T306" t="s">
        <v>27</v>
      </c>
      <c r="U306" t="s">
        <v>27</v>
      </c>
      <c r="V306" t="s">
        <v>29</v>
      </c>
      <c r="W306" t="s">
        <v>242</v>
      </c>
    </row>
    <row r="307" spans="1:23" x14ac:dyDescent="0.3">
      <c r="A307">
        <v>22</v>
      </c>
      <c r="B307" t="str">
        <f>HYPERLINK("https://imapinvasives.natureserve.org/imap/services/page/Presence/526598.html", "View")</f>
        <v>View</v>
      </c>
      <c r="C307">
        <v>526598</v>
      </c>
      <c r="D307">
        <v>526598</v>
      </c>
      <c r="E307" t="str">
        <f>HYPERLINK("http://imap3images.s3-website-us-east-1.amazonaws.com/526598/p/photourl1_2018_06_11_carmcmullen_1mzchlya.jpg", "View")</f>
        <v>View</v>
      </c>
      <c r="F307" t="s">
        <v>249</v>
      </c>
      <c r="G307" t="s">
        <v>250</v>
      </c>
      <c r="H307">
        <v>57278</v>
      </c>
      <c r="I307" t="str">
        <f>HYPERLINK("https://www.inaturalist.org/taxa/54504-Juglans-nigra", "View")</f>
        <v>View</v>
      </c>
      <c r="J307" t="s">
        <v>198</v>
      </c>
      <c r="K307" t="s">
        <v>199</v>
      </c>
      <c r="L307">
        <v>54504</v>
      </c>
      <c r="M307">
        <v>35.58</v>
      </c>
      <c r="N307">
        <v>84.88</v>
      </c>
      <c r="O307">
        <v>0</v>
      </c>
      <c r="P307" t="s">
        <v>32</v>
      </c>
      <c r="Q307" t="s">
        <v>48</v>
      </c>
      <c r="R307">
        <v>87.09</v>
      </c>
      <c r="S307">
        <v>32.68</v>
      </c>
      <c r="T307" t="s">
        <v>27</v>
      </c>
      <c r="U307" t="s">
        <v>28</v>
      </c>
      <c r="V307" t="s">
        <v>29</v>
      </c>
      <c r="W307" t="s">
        <v>241</v>
      </c>
    </row>
    <row r="308" spans="1:23" x14ac:dyDescent="0.3">
      <c r="A308">
        <v>23</v>
      </c>
      <c r="B308" t="str">
        <f>HYPERLINK("https://imapinvasives.natureserve.org/imap/services/page/Presence/1179816.html", "View")</f>
        <v>View</v>
      </c>
      <c r="C308">
        <v>1179816</v>
      </c>
      <c r="D308">
        <v>1187639</v>
      </c>
      <c r="E308" t="str">
        <f>HYPERLINK("http://imap3images.s3-website-us-east-1.amazonaws.com/1187639/p/imap_app_photo_1635878000000.jpg", "View")</f>
        <v>View</v>
      </c>
      <c r="F308" t="s">
        <v>249</v>
      </c>
      <c r="G308" t="s">
        <v>250</v>
      </c>
      <c r="H308">
        <v>57278</v>
      </c>
      <c r="I308" t="str">
        <f>HYPERLINK("https://www.inaturalist.org/taxa/167829-Rhus-typhina", "View")</f>
        <v>View</v>
      </c>
      <c r="J308" t="s">
        <v>260</v>
      </c>
      <c r="K308" t="s">
        <v>261</v>
      </c>
      <c r="L308">
        <v>167829</v>
      </c>
      <c r="M308">
        <v>45.5</v>
      </c>
      <c r="N308">
        <v>26.8</v>
      </c>
      <c r="O308">
        <v>0</v>
      </c>
      <c r="P308" t="s">
        <v>32</v>
      </c>
      <c r="Q308" t="s">
        <v>48</v>
      </c>
      <c r="R308">
        <v>87.09</v>
      </c>
      <c r="S308">
        <v>32.68</v>
      </c>
      <c r="T308" t="s">
        <v>27</v>
      </c>
      <c r="U308" t="s">
        <v>28</v>
      </c>
      <c r="V308" t="s">
        <v>29</v>
      </c>
      <c r="W308" t="s">
        <v>242</v>
      </c>
    </row>
    <row r="309" spans="1:23" x14ac:dyDescent="0.3">
      <c r="A309">
        <v>24</v>
      </c>
      <c r="B309" t="str">
        <f>HYPERLINK("https://imapinvasives.natureserve.org/imap/services/page/Presence/1344382.html", "View")</f>
        <v>View</v>
      </c>
      <c r="C309">
        <v>1344382</v>
      </c>
      <c r="D309">
        <v>1360170</v>
      </c>
      <c r="E309" t="str">
        <f>HYPERLINK("http://imap3images.s3-website-us-east-1.amazonaws.com/1360170/p/imap_app_photo_1690996655768.jpg", "View")</f>
        <v>View</v>
      </c>
      <c r="F309" t="s">
        <v>249</v>
      </c>
      <c r="G309" t="s">
        <v>250</v>
      </c>
      <c r="H309">
        <v>57278</v>
      </c>
      <c r="I309" t="str">
        <f>HYPERLINK("https://www.inaturalist.org/taxa/54792-Juglans-cinerea", "View")</f>
        <v>View</v>
      </c>
      <c r="J309" t="s">
        <v>262</v>
      </c>
      <c r="K309" t="s">
        <v>263</v>
      </c>
      <c r="L309">
        <v>54792</v>
      </c>
      <c r="M309">
        <v>10.51</v>
      </c>
      <c r="N309">
        <v>10.93</v>
      </c>
      <c r="O309">
        <v>0</v>
      </c>
      <c r="P309" t="s">
        <v>32</v>
      </c>
      <c r="Q309" t="s">
        <v>48</v>
      </c>
      <c r="R309">
        <v>87.09</v>
      </c>
      <c r="S309">
        <v>32.68</v>
      </c>
      <c r="T309" t="s">
        <v>27</v>
      </c>
      <c r="U309" t="s">
        <v>27</v>
      </c>
      <c r="V309" t="s">
        <v>29</v>
      </c>
      <c r="W309" t="s">
        <v>242</v>
      </c>
    </row>
    <row r="310" spans="1:23" x14ac:dyDescent="0.3">
      <c r="A310">
        <v>25</v>
      </c>
      <c r="B310" t="str">
        <f t="shared" ref="B310" si="9">HYPERLINK("https://imapinvasives.natureserve.org/imap/services/page/Presence/1271843.html", "View")</f>
        <v>View</v>
      </c>
      <c r="C310">
        <v>1271843</v>
      </c>
      <c r="D310">
        <v>1280854</v>
      </c>
      <c r="E310" t="str">
        <f>HYPERLINK("http://imap3images.s3-website-us-east-1.amazonaws.com/1280854/p/Photo2-20220510-152258.jpg", "View")</f>
        <v>View</v>
      </c>
      <c r="F310" t="s">
        <v>249</v>
      </c>
      <c r="G310" t="s">
        <v>250</v>
      </c>
      <c r="H310">
        <v>57278</v>
      </c>
      <c r="I310" t="str">
        <f>HYPERLINK("https://www.inaturalist.org/taxa/54787-Carya-cordiformis", "View")</f>
        <v>View</v>
      </c>
      <c r="J310" t="s">
        <v>264</v>
      </c>
      <c r="K310" t="s">
        <v>265</v>
      </c>
      <c r="L310">
        <v>54787</v>
      </c>
      <c r="M310">
        <v>46.61</v>
      </c>
      <c r="N310">
        <v>20.95</v>
      </c>
      <c r="O310">
        <v>0</v>
      </c>
      <c r="P310" t="s">
        <v>32</v>
      </c>
      <c r="Q310" t="s">
        <v>48</v>
      </c>
      <c r="R310">
        <v>87.09</v>
      </c>
      <c r="S310">
        <v>32.68</v>
      </c>
      <c r="T310" t="s">
        <v>27</v>
      </c>
      <c r="U310" t="s">
        <v>28</v>
      </c>
      <c r="V310" t="s">
        <v>29</v>
      </c>
      <c r="W310" t="s">
        <v>242</v>
      </c>
    </row>
    <row r="311" spans="1:23" x14ac:dyDescent="0.3">
      <c r="A311">
        <v>26</v>
      </c>
      <c r="B311" t="str">
        <f>HYPERLINK("https://imapinvasives.natureserve.org/imap/services/page/Presence/1327760.html", "View")</f>
        <v>View</v>
      </c>
      <c r="C311">
        <v>1327760</v>
      </c>
      <c r="D311">
        <v>1340754</v>
      </c>
      <c r="E311" s="2" t="str">
        <f>HYPERLINK("http://imap3images.s3-website-us-east-1.amazonaws.com/1340754/p/imap_app_photo_1683211889710.jpg", "View")</f>
        <v>View</v>
      </c>
      <c r="F311" t="s">
        <v>249</v>
      </c>
      <c r="G311" t="s">
        <v>250</v>
      </c>
      <c r="H311">
        <v>57278</v>
      </c>
      <c r="I311" t="str">
        <f>HYPERLINK("https://www.inaturalist.org/taxa/48098-Acer-rubrum", "View")</f>
        <v>View</v>
      </c>
      <c r="J311" t="s">
        <v>266</v>
      </c>
      <c r="K311" t="s">
        <v>267</v>
      </c>
      <c r="L311">
        <v>48098</v>
      </c>
      <c r="M311">
        <v>57.55</v>
      </c>
      <c r="N311">
        <v>32.08</v>
      </c>
      <c r="O311">
        <v>0</v>
      </c>
      <c r="P311" t="s">
        <v>32</v>
      </c>
      <c r="Q311" t="s">
        <v>48</v>
      </c>
      <c r="R311">
        <v>87.09</v>
      </c>
      <c r="S311">
        <v>32.68</v>
      </c>
      <c r="T311" t="s">
        <v>27</v>
      </c>
      <c r="U311" t="s">
        <v>28</v>
      </c>
      <c r="V311" t="s">
        <v>29</v>
      </c>
      <c r="W311" t="s">
        <v>242</v>
      </c>
    </row>
    <row r="312" spans="1:23" x14ac:dyDescent="0.3">
      <c r="A312">
        <v>29</v>
      </c>
      <c r="B312" t="str">
        <f>HYPERLINK("https://imapinvasives.natureserve.org/imap/services/page/Presence/1345231.html", "View")</f>
        <v>View</v>
      </c>
      <c r="C312">
        <v>1345231</v>
      </c>
      <c r="D312">
        <v>1361372</v>
      </c>
      <c r="E312" t="str">
        <f>HYPERLINK("http://imap3images.s3-website-us-east-1.amazonaws.com/1361372/p/imap_app_photo_1691354622932.jpg", "View")</f>
        <v>View</v>
      </c>
      <c r="F312" t="s">
        <v>249</v>
      </c>
      <c r="G312" t="s">
        <v>250</v>
      </c>
      <c r="H312">
        <v>57278</v>
      </c>
      <c r="I312" t="str">
        <f>HYPERLINK("https://www.inaturalist.org/taxa/57278-Ailanthus-altissima", "View")</f>
        <v>View</v>
      </c>
      <c r="J312" t="s">
        <v>249</v>
      </c>
      <c r="K312" t="s">
        <v>251</v>
      </c>
      <c r="L312">
        <v>57278</v>
      </c>
      <c r="M312">
        <v>67.39</v>
      </c>
      <c r="N312">
        <v>27.03</v>
      </c>
      <c r="O312">
        <v>1</v>
      </c>
      <c r="P312" t="s">
        <v>25</v>
      </c>
      <c r="Q312" t="s">
        <v>48</v>
      </c>
      <c r="R312">
        <v>87.09</v>
      </c>
      <c r="S312">
        <v>32.68</v>
      </c>
      <c r="T312" t="s">
        <v>27</v>
      </c>
      <c r="U312" t="s">
        <v>28</v>
      </c>
      <c r="V312" t="s">
        <v>29</v>
      </c>
      <c r="W312" t="s">
        <v>242</v>
      </c>
    </row>
    <row r="313" spans="1:23" x14ac:dyDescent="0.3">
      <c r="A313">
        <v>30</v>
      </c>
      <c r="B313" t="str">
        <f>HYPERLINK("https://imapinvasives.natureserve.org/imap/services/page/Presence/1350530.html", "View")</f>
        <v>View</v>
      </c>
      <c r="C313">
        <v>1350530</v>
      </c>
      <c r="D313">
        <v>1367501</v>
      </c>
      <c r="E313" t="str">
        <f>HYPERLINK("http://imap3images.s3-website-us-east-1.amazonaws.com/1367501/p/imap_app_photo_1693249345477.jpg", "View")</f>
        <v>View</v>
      </c>
      <c r="F313" t="s">
        <v>249</v>
      </c>
      <c r="G313" t="s">
        <v>250</v>
      </c>
      <c r="H313">
        <v>57278</v>
      </c>
      <c r="I313" t="str">
        <f>HYPERLINK("https://www.inaturalist.org/taxa/54792-Juglans-cinerea", "View")</f>
        <v>View</v>
      </c>
      <c r="J313" t="s">
        <v>262</v>
      </c>
      <c r="K313" t="s">
        <v>263</v>
      </c>
      <c r="L313">
        <v>54792</v>
      </c>
      <c r="M313">
        <v>12.28</v>
      </c>
      <c r="N313">
        <v>10.66</v>
      </c>
      <c r="O313">
        <v>0</v>
      </c>
      <c r="P313" t="s">
        <v>32</v>
      </c>
      <c r="Q313" t="s">
        <v>48</v>
      </c>
      <c r="R313">
        <v>87.09</v>
      </c>
      <c r="S313">
        <v>32.68</v>
      </c>
      <c r="T313" t="s">
        <v>27</v>
      </c>
      <c r="U313" t="s">
        <v>27</v>
      </c>
      <c r="V313" t="s">
        <v>29</v>
      </c>
      <c r="W313" t="s">
        <v>242</v>
      </c>
    </row>
    <row r="314" spans="1:23" x14ac:dyDescent="0.3">
      <c r="A314">
        <v>31</v>
      </c>
      <c r="B314" t="str">
        <f>HYPERLINK("https://imapinvasives.natureserve.org/imap/services/page/Presence/1478397.html", "View")</f>
        <v>View</v>
      </c>
      <c r="C314">
        <v>1478397</v>
      </c>
      <c r="D314">
        <v>1495503</v>
      </c>
      <c r="E314" t="str">
        <f>HYPERLINK("http://imap3images.s3-website-us-east-1.amazonaws.com/1495503/p/imap_app_photo_1737481991645.jpg", "View")</f>
        <v>View</v>
      </c>
      <c r="F314" t="s">
        <v>249</v>
      </c>
      <c r="G314" t="s">
        <v>250</v>
      </c>
      <c r="H314">
        <v>57278</v>
      </c>
      <c r="I314" t="str">
        <f>HYPERLINK("https://www.inaturalist.org/taxa/52391-Pinus-strobus", "View")</f>
        <v>View</v>
      </c>
      <c r="J314" t="s">
        <v>43</v>
      </c>
      <c r="K314" t="s">
        <v>44</v>
      </c>
      <c r="L314">
        <v>52391</v>
      </c>
      <c r="M314">
        <v>21.8</v>
      </c>
      <c r="N314">
        <v>8.81</v>
      </c>
      <c r="O314">
        <v>0</v>
      </c>
      <c r="P314" t="s">
        <v>32</v>
      </c>
      <c r="Q314" t="s">
        <v>48</v>
      </c>
      <c r="R314">
        <v>87.09</v>
      </c>
      <c r="S314">
        <v>32.68</v>
      </c>
      <c r="T314" t="s">
        <v>27</v>
      </c>
      <c r="U314" t="s">
        <v>27</v>
      </c>
      <c r="V314" t="s">
        <v>29</v>
      </c>
      <c r="W314" t="s">
        <v>242</v>
      </c>
    </row>
    <row r="315" spans="1:23" x14ac:dyDescent="0.3">
      <c r="A315">
        <v>32</v>
      </c>
      <c r="B315" t="str">
        <f>HYPERLINK("https://imapinvasives.natureserve.org/imap/services/page/Presence/1170157.html", "View")</f>
        <v>View</v>
      </c>
      <c r="C315">
        <v>1170157</v>
      </c>
      <c r="D315">
        <v>1177690</v>
      </c>
      <c r="E315" t="str">
        <f>HYPERLINK("http://imap3images.s3-website-us-east-1.amazonaws.com/1177690/p/imap_app_photo_1634073124060.jpg", "View")</f>
        <v>View</v>
      </c>
      <c r="F315" t="s">
        <v>249</v>
      </c>
      <c r="G315" t="s">
        <v>250</v>
      </c>
      <c r="H315">
        <v>57278</v>
      </c>
      <c r="I315" t="str">
        <f>HYPERLINK("https://www.inaturalist.org/taxa/158549-Aralia-elata", "View")</f>
        <v>View</v>
      </c>
      <c r="J315" t="s">
        <v>268</v>
      </c>
      <c r="K315" t="s">
        <v>269</v>
      </c>
      <c r="L315">
        <v>158549</v>
      </c>
      <c r="M315">
        <v>15.89</v>
      </c>
      <c r="N315">
        <v>26</v>
      </c>
      <c r="O315">
        <v>0</v>
      </c>
      <c r="P315" t="s">
        <v>32</v>
      </c>
      <c r="Q315" t="s">
        <v>48</v>
      </c>
      <c r="R315">
        <v>87.09</v>
      </c>
      <c r="S315">
        <v>32.68</v>
      </c>
      <c r="T315" t="s">
        <v>27</v>
      </c>
      <c r="U315" t="s">
        <v>27</v>
      </c>
      <c r="V315" t="s">
        <v>29</v>
      </c>
      <c r="W315" t="s">
        <v>242</v>
      </c>
    </row>
    <row r="316" spans="1:23" x14ac:dyDescent="0.3">
      <c r="A316">
        <v>33</v>
      </c>
      <c r="B316" t="str">
        <f>HYPERLINK("https://imapinvasives.natureserve.org/imap/services/page/Presence/1136877.html", "View")</f>
        <v>View</v>
      </c>
      <c r="C316">
        <v>1136877</v>
      </c>
      <c r="D316">
        <v>1143292</v>
      </c>
      <c r="E316" t="str">
        <f>HYPERLINK("http://imap3images.s3-website-us-east-1.amazonaws.com/1143292/p/imap_app_photo_1620409973323.jpg", "View")</f>
        <v>View</v>
      </c>
      <c r="F316" t="s">
        <v>249</v>
      </c>
      <c r="G316" t="s">
        <v>250</v>
      </c>
      <c r="H316">
        <v>57278</v>
      </c>
      <c r="I316" t="str">
        <f>HYPERLINK("https://www.inaturalist.org/taxa/54840-Populus-tremuloides", "View")</f>
        <v>View</v>
      </c>
      <c r="J316" t="s">
        <v>204</v>
      </c>
      <c r="K316" t="s">
        <v>205</v>
      </c>
      <c r="L316">
        <v>54840</v>
      </c>
      <c r="M316">
        <v>41.51</v>
      </c>
      <c r="N316">
        <v>11.72</v>
      </c>
      <c r="O316">
        <v>0</v>
      </c>
      <c r="P316" t="s">
        <v>32</v>
      </c>
      <c r="Q316" t="s">
        <v>48</v>
      </c>
      <c r="R316">
        <v>87.09</v>
      </c>
      <c r="S316">
        <v>32.68</v>
      </c>
      <c r="T316" t="s">
        <v>27</v>
      </c>
      <c r="U316" t="s">
        <v>28</v>
      </c>
      <c r="V316" t="s">
        <v>29</v>
      </c>
      <c r="W316" t="s">
        <v>242</v>
      </c>
    </row>
    <row r="317" spans="1:23" x14ac:dyDescent="0.3">
      <c r="A317">
        <v>34</v>
      </c>
      <c r="B317" t="str">
        <f>HYPERLINK("https://imapinvasives.natureserve.org/imap/services/page/Presence/1163434.html", "View")</f>
        <v>View</v>
      </c>
      <c r="C317">
        <v>1163434</v>
      </c>
      <c r="D317">
        <v>1170624</v>
      </c>
      <c r="E317" t="str">
        <f>HYPERLINK("http://imap3images.s3-website-us-east-1.amazonaws.com/1170624/p/imap_app_photo_1631562542457.jpg", "View")</f>
        <v>View</v>
      </c>
      <c r="F317" t="s">
        <v>249</v>
      </c>
      <c r="G317" t="s">
        <v>250</v>
      </c>
      <c r="H317">
        <v>57278</v>
      </c>
      <c r="I317" t="str">
        <f>HYPERLINK("https://www.inaturalist.org/taxa/57278-Ailanthus-altissima", "View")</f>
        <v>View</v>
      </c>
      <c r="J317" t="s">
        <v>249</v>
      </c>
      <c r="K317" t="s">
        <v>251</v>
      </c>
      <c r="L317">
        <v>57278</v>
      </c>
      <c r="M317">
        <v>1.1000000000000001</v>
      </c>
      <c r="N317">
        <v>19.18</v>
      </c>
      <c r="O317">
        <v>1</v>
      </c>
      <c r="P317" t="s">
        <v>25</v>
      </c>
      <c r="Q317" t="s">
        <v>48</v>
      </c>
      <c r="R317">
        <v>87.09</v>
      </c>
      <c r="S317">
        <v>32.68</v>
      </c>
      <c r="T317" t="s">
        <v>27</v>
      </c>
      <c r="U317" t="s">
        <v>27</v>
      </c>
      <c r="V317" t="s">
        <v>29</v>
      </c>
      <c r="W317" t="s">
        <v>242</v>
      </c>
    </row>
  </sheetData>
  <sortState xmlns:xlrd2="http://schemas.microsoft.com/office/spreadsheetml/2017/richdata2" ref="A2:V254">
    <sortCondition ref="V1:V254"/>
  </sortState>
  <dataValidations count="1">
    <dataValidation type="list" allowBlank="1" showInputMessage="1" showErrorMessage="1" sqref="W1:W1048576" xr:uid="{2B0CC9CF-D9ED-4462-8E1F-D6F2E18F11DC}">
      <formula1>"Good, Bad"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Taposh Mollick</cp:lastModifiedBy>
  <dcterms:created xsi:type="dcterms:W3CDTF">2025-03-11T19:43:46Z</dcterms:created>
  <dcterms:modified xsi:type="dcterms:W3CDTF">2025-04-17T05:59:24Z</dcterms:modified>
</cp:coreProperties>
</file>