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mollick\Documents\iMapInvasives_NYNHP\Dataset_11_species\"/>
    </mc:Choice>
  </mc:AlternateContent>
  <xr:revisionPtr revIDLastSave="0" documentId="13_ncr:1_{ABACA177-08C0-4D20-B9DB-3E06F26C93A9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elected Record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1" l="1"/>
  <c r="B84" i="1"/>
  <c r="B79" i="1"/>
  <c r="I101" i="1"/>
  <c r="E101" i="1"/>
  <c r="B101" i="1"/>
  <c r="I100" i="1"/>
  <c r="E100" i="1"/>
  <c r="B100" i="1"/>
  <c r="I99" i="1"/>
  <c r="E99" i="1"/>
  <c r="B99" i="1"/>
  <c r="I98" i="1"/>
  <c r="E98" i="1"/>
  <c r="B98" i="1"/>
  <c r="I97" i="1"/>
  <c r="E97" i="1"/>
  <c r="B97" i="1"/>
  <c r="I96" i="1"/>
  <c r="E96" i="1"/>
  <c r="B96" i="1"/>
  <c r="I95" i="1"/>
  <c r="E95" i="1"/>
  <c r="B95" i="1"/>
  <c r="I94" i="1"/>
  <c r="E94" i="1"/>
  <c r="B94" i="1"/>
  <c r="I93" i="1"/>
  <c r="E93" i="1"/>
  <c r="B93" i="1"/>
  <c r="I92" i="1"/>
  <c r="E92" i="1"/>
  <c r="I91" i="1"/>
  <c r="E91" i="1"/>
  <c r="B91" i="1"/>
  <c r="I90" i="1"/>
  <c r="E90" i="1"/>
  <c r="B90" i="1"/>
  <c r="I89" i="1"/>
  <c r="E89" i="1"/>
  <c r="B89" i="1"/>
  <c r="I88" i="1"/>
  <c r="E88" i="1"/>
  <c r="B88" i="1"/>
  <c r="I87" i="1"/>
  <c r="E87" i="1"/>
  <c r="B87" i="1"/>
  <c r="I86" i="1"/>
  <c r="E86" i="1"/>
  <c r="B86" i="1"/>
  <c r="I85" i="1"/>
  <c r="E85" i="1"/>
  <c r="B85" i="1"/>
  <c r="I84" i="1"/>
  <c r="E84" i="1"/>
  <c r="I83" i="1"/>
  <c r="E83" i="1"/>
  <c r="B83" i="1"/>
  <c r="I82" i="1"/>
  <c r="E82" i="1"/>
  <c r="B82" i="1"/>
  <c r="I81" i="1"/>
  <c r="E81" i="1"/>
  <c r="B81" i="1"/>
  <c r="I80" i="1"/>
  <c r="E80" i="1"/>
  <c r="B80" i="1"/>
  <c r="I79" i="1"/>
  <c r="E79" i="1"/>
  <c r="I78" i="1"/>
  <c r="E78" i="1"/>
  <c r="B78" i="1"/>
  <c r="I77" i="1"/>
  <c r="E77" i="1"/>
  <c r="B77" i="1"/>
  <c r="I76" i="1"/>
  <c r="E76" i="1"/>
  <c r="B76" i="1"/>
  <c r="I75" i="1"/>
  <c r="E75" i="1"/>
  <c r="B75" i="1"/>
  <c r="I74" i="1"/>
  <c r="E74" i="1"/>
  <c r="B74" i="1"/>
  <c r="I73" i="1"/>
  <c r="E73" i="1"/>
  <c r="B73" i="1"/>
  <c r="I72" i="1"/>
  <c r="E72" i="1"/>
  <c r="B72" i="1"/>
  <c r="I71" i="1"/>
  <c r="E71" i="1"/>
  <c r="B71" i="1"/>
  <c r="I70" i="1"/>
  <c r="E70" i="1"/>
  <c r="B70" i="1"/>
  <c r="I69" i="1"/>
  <c r="E69" i="1"/>
  <c r="B69" i="1"/>
  <c r="I68" i="1"/>
  <c r="E68" i="1"/>
  <c r="B68" i="1"/>
  <c r="I67" i="1"/>
  <c r="E67" i="1"/>
  <c r="B67" i="1"/>
  <c r="I66" i="1"/>
  <c r="E66" i="1"/>
  <c r="B66" i="1"/>
  <c r="I65" i="1"/>
  <c r="E65" i="1"/>
  <c r="B65" i="1"/>
  <c r="I64" i="1"/>
  <c r="E64" i="1"/>
  <c r="B64" i="1"/>
  <c r="I63" i="1"/>
  <c r="E63" i="1"/>
  <c r="B63" i="1"/>
  <c r="I62" i="1"/>
  <c r="E62" i="1"/>
  <c r="B62" i="1"/>
  <c r="I61" i="1"/>
  <c r="E61" i="1"/>
  <c r="B61" i="1"/>
  <c r="I60" i="1"/>
  <c r="E60" i="1"/>
  <c r="B60" i="1"/>
  <c r="I59" i="1"/>
  <c r="E59" i="1"/>
  <c r="B59" i="1"/>
  <c r="I58" i="1"/>
  <c r="E58" i="1"/>
  <c r="B58" i="1"/>
  <c r="I57" i="1"/>
  <c r="E57" i="1"/>
  <c r="B57" i="1"/>
  <c r="I56" i="1"/>
  <c r="E56" i="1"/>
  <c r="B56" i="1"/>
  <c r="I55" i="1"/>
  <c r="E55" i="1"/>
  <c r="B55" i="1"/>
  <c r="I54" i="1"/>
  <c r="E54" i="1"/>
  <c r="B54" i="1"/>
  <c r="I53" i="1"/>
  <c r="E53" i="1"/>
  <c r="B53" i="1"/>
  <c r="I52" i="1"/>
  <c r="E52" i="1"/>
  <c r="B52" i="1"/>
  <c r="I51" i="1"/>
  <c r="E51" i="1"/>
  <c r="B51" i="1"/>
  <c r="I50" i="1"/>
  <c r="E50" i="1"/>
  <c r="B50" i="1"/>
  <c r="I49" i="1"/>
  <c r="E49" i="1"/>
  <c r="B49" i="1"/>
  <c r="I48" i="1"/>
  <c r="E48" i="1"/>
  <c r="B48" i="1"/>
  <c r="I47" i="1"/>
  <c r="E47" i="1"/>
  <c r="B47" i="1"/>
  <c r="I46" i="1"/>
  <c r="E46" i="1"/>
  <c r="B46" i="1"/>
  <c r="I45" i="1"/>
  <c r="E45" i="1"/>
  <c r="B45" i="1"/>
  <c r="I44" i="1"/>
  <c r="E44" i="1"/>
  <c r="B44" i="1"/>
  <c r="I43" i="1"/>
  <c r="E43" i="1"/>
  <c r="B43" i="1"/>
  <c r="I42" i="1"/>
  <c r="E42" i="1"/>
  <c r="B42" i="1"/>
  <c r="I41" i="1"/>
  <c r="E41" i="1"/>
  <c r="B41" i="1"/>
  <c r="I40" i="1"/>
  <c r="E40" i="1"/>
  <c r="B40" i="1"/>
  <c r="I39" i="1"/>
  <c r="E39" i="1"/>
  <c r="B39" i="1"/>
  <c r="I38" i="1"/>
  <c r="E38" i="1"/>
  <c r="B38" i="1"/>
  <c r="I37" i="1"/>
  <c r="E37" i="1"/>
  <c r="B37" i="1"/>
  <c r="I36" i="1"/>
  <c r="E36" i="1"/>
  <c r="B36" i="1"/>
  <c r="I35" i="1"/>
  <c r="E35" i="1"/>
  <c r="B35" i="1"/>
  <c r="I34" i="1"/>
  <c r="E34" i="1"/>
  <c r="B34" i="1"/>
  <c r="I33" i="1"/>
  <c r="E33" i="1"/>
  <c r="B33" i="1"/>
  <c r="I32" i="1"/>
  <c r="E32" i="1"/>
  <c r="B32" i="1"/>
  <c r="I31" i="1"/>
  <c r="E31" i="1"/>
  <c r="B31" i="1"/>
  <c r="I30" i="1"/>
  <c r="E30" i="1"/>
  <c r="B30" i="1"/>
  <c r="I29" i="1"/>
  <c r="E29" i="1"/>
  <c r="B29" i="1"/>
  <c r="I28" i="1"/>
  <c r="E28" i="1"/>
  <c r="B28" i="1"/>
  <c r="I27" i="1"/>
  <c r="E27" i="1"/>
  <c r="B27" i="1"/>
  <c r="I26" i="1"/>
  <c r="E26" i="1"/>
  <c r="B26" i="1"/>
  <c r="I25" i="1"/>
  <c r="E25" i="1"/>
  <c r="B25" i="1"/>
  <c r="I24" i="1"/>
  <c r="E24" i="1"/>
  <c r="B24" i="1"/>
  <c r="I23" i="1"/>
  <c r="E23" i="1"/>
  <c r="B23" i="1"/>
  <c r="I22" i="1"/>
  <c r="E22" i="1"/>
  <c r="B22" i="1"/>
  <c r="I21" i="1"/>
  <c r="E21" i="1"/>
  <c r="B21" i="1"/>
  <c r="I20" i="1"/>
  <c r="E20" i="1"/>
  <c r="B20" i="1"/>
  <c r="I19" i="1"/>
  <c r="E19" i="1"/>
  <c r="B19" i="1"/>
  <c r="I18" i="1"/>
  <c r="E18" i="1"/>
  <c r="B18" i="1"/>
  <c r="I17" i="1"/>
  <c r="E17" i="1"/>
  <c r="B17" i="1"/>
  <c r="I16" i="1"/>
  <c r="E16" i="1"/>
  <c r="B16" i="1"/>
  <c r="I15" i="1"/>
  <c r="E15" i="1"/>
  <c r="B15" i="1"/>
  <c r="I14" i="1"/>
  <c r="E14" i="1"/>
  <c r="B14" i="1"/>
  <c r="I13" i="1"/>
  <c r="E13" i="1"/>
  <c r="B13" i="1"/>
  <c r="I12" i="1"/>
  <c r="E12" i="1"/>
  <c r="B12" i="1"/>
  <c r="I11" i="1"/>
  <c r="E11" i="1"/>
  <c r="B11" i="1"/>
  <c r="I10" i="1"/>
  <c r="E10" i="1"/>
  <c r="B10" i="1"/>
  <c r="I9" i="1"/>
  <c r="E9" i="1"/>
  <c r="B9" i="1"/>
  <c r="I8" i="1"/>
  <c r="E8" i="1"/>
  <c r="B8" i="1"/>
  <c r="I7" i="1"/>
  <c r="E7" i="1"/>
  <c r="B7" i="1"/>
  <c r="I6" i="1"/>
  <c r="E6" i="1"/>
  <c r="B6" i="1"/>
  <c r="I5" i="1"/>
  <c r="E5" i="1"/>
  <c r="B5" i="1"/>
  <c r="I4" i="1"/>
  <c r="E4" i="1"/>
  <c r="B4" i="1"/>
  <c r="I3" i="1"/>
  <c r="E3" i="1"/>
  <c r="B3" i="1"/>
  <c r="I2" i="1"/>
  <c r="E2" i="1"/>
  <c r="B2" i="1"/>
</calcChain>
</file>

<file path=xl/sharedStrings.xml><?xml version="1.0" encoding="utf-8"?>
<sst xmlns="http://schemas.openxmlformats.org/spreadsheetml/2006/main" count="620" uniqueCount="72">
  <si>
    <t>S.L.</t>
  </si>
  <si>
    <t>imaplink</t>
  </si>
  <si>
    <t>presenceId</t>
  </si>
  <si>
    <t>presentSpeciesId</t>
  </si>
  <si>
    <t>iMapPhoto</t>
  </si>
  <si>
    <t>imap_sci</t>
  </si>
  <si>
    <t>imap_com</t>
  </si>
  <si>
    <t>imap_record_taxon</t>
  </si>
  <si>
    <t>inatlink</t>
  </si>
  <si>
    <t>inat_sci</t>
  </si>
  <si>
    <t>inat_com</t>
  </si>
  <si>
    <t>inat_taxon</t>
  </si>
  <si>
    <t>geo_score</t>
  </si>
  <si>
    <t>com_score</t>
  </si>
  <si>
    <t>visual_model</t>
  </si>
  <si>
    <t>species_label</t>
  </si>
  <si>
    <t>com_status</t>
  </si>
  <si>
    <t>Verification</t>
  </si>
  <si>
    <t>Photo_quality</t>
  </si>
  <si>
    <t>Notes</t>
  </si>
  <si>
    <t>Ailanthus altissima</t>
  </si>
  <si>
    <t>Tree-of-Heaven</t>
  </si>
  <si>
    <t>Tsuga canadensis</t>
  </si>
  <si>
    <t>Eastern hemlock</t>
  </si>
  <si>
    <t>Undeterminable</t>
  </si>
  <si>
    <t>Bad-Blur Photo</t>
  </si>
  <si>
    <t>Tree-of-heaven</t>
  </si>
  <si>
    <t>Both iMap and iNat correct</t>
  </si>
  <si>
    <t>Good photo</t>
  </si>
  <si>
    <t>Juglans cinerea</t>
  </si>
  <si>
    <t>Butternut</t>
  </si>
  <si>
    <t>iMap is only correct</t>
  </si>
  <si>
    <t>Sphyrapicus varius</t>
  </si>
  <si>
    <t>Yellow-bellied sapsucker</t>
  </si>
  <si>
    <t>Bad-Multiple focused species</t>
  </si>
  <si>
    <t>Bad-Photo taken from long distance</t>
  </si>
  <si>
    <t>Jacaratia mexicana</t>
  </si>
  <si>
    <t>Unknown</t>
  </si>
  <si>
    <t>Gymnocladus dioicus</t>
  </si>
  <si>
    <t>Kentucky coffeetree</t>
  </si>
  <si>
    <t>Bad-limited contrast</t>
  </si>
  <si>
    <t>Juglans nigra</t>
  </si>
  <si>
    <t>Eastern black walnut</t>
  </si>
  <si>
    <t>Celtis tenuifolia</t>
  </si>
  <si>
    <t>Dwarf hackberry</t>
  </si>
  <si>
    <t>Carya cordiformis</t>
  </si>
  <si>
    <t>Bitternut hickory</t>
  </si>
  <si>
    <t>Gleditsia aquatica</t>
  </si>
  <si>
    <t>Water locust</t>
  </si>
  <si>
    <t>Robinia pseudoacacia</t>
  </si>
  <si>
    <t>Black locust</t>
  </si>
  <si>
    <t>Rhus typhina</t>
  </si>
  <si>
    <t>Staghorn sumac</t>
  </si>
  <si>
    <t>Weinmannia trichosperma</t>
  </si>
  <si>
    <t>Tineo</t>
  </si>
  <si>
    <t>Phellodendron amurense</t>
  </si>
  <si>
    <t>Amur corktree</t>
  </si>
  <si>
    <t>Liriodendron tulipifera</t>
  </si>
  <si>
    <t>Tulip tree</t>
  </si>
  <si>
    <t>Caryota mitis</t>
  </si>
  <si>
    <t>Burmese fishtail-palm</t>
  </si>
  <si>
    <t>Bad-Dried Stems</t>
  </si>
  <si>
    <t>Celtis occidentalis</t>
  </si>
  <si>
    <t>Common hackberry</t>
  </si>
  <si>
    <t>Microstegium vimineum</t>
  </si>
  <si>
    <t>Japanese stiltgrass</t>
  </si>
  <si>
    <t>Apios americana</t>
  </si>
  <si>
    <t>American groundnut</t>
  </si>
  <si>
    <t>Betula lenta</t>
  </si>
  <si>
    <t>Sweet birch</t>
  </si>
  <si>
    <t>Acer saccharum</t>
  </si>
  <si>
    <t>Sugar maple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</si>
</sst>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workbookViewId="0">
      <selection activeCell="A2" sqref="A2:A101"/>
    </sheetView>
  </sheetViews>
  <sheetFormatPr defaultRowHeight="15" x14ac:dyDescent="0.25"/>
  <cols>
    <col min="18" max="18" width="10.7109375" bestFit="1" customWidth="1"/>
    <col min="19" max="19" width="12.85546875" bestFit="1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>
        <v>1</v>
      </c>
      <c r="B2" t="str">
        <f>HYPERLINK("https://imapinvasives.natureserve.org/imap/services/page/Presence/1340088.html", "View")</f>
        <v>View</v>
      </c>
      <c r="C2">
        <v>1340088</v>
      </c>
      <c r="D2">
        <v>1355181</v>
      </c>
      <c r="E2" t="str">
        <f>HYPERLINK("http://imap3images.s3-website-us-east-1.amazonaws.com/1355181/p/imap_app_photo_1689199573083.jpg", "View")</f>
        <v>View</v>
      </c>
      <c r="F2" t="s">
        <v>20</v>
      </c>
      <c r="G2" t="s">
        <v>21</v>
      </c>
      <c r="H2">
        <v>57278</v>
      </c>
      <c r="I2" t="str">
        <f>HYPERLINK("https://www.inaturalist.org/taxa/48734-Tsuga-canadensis", "View")</f>
        <v>View</v>
      </c>
      <c r="J2" t="s">
        <v>22</v>
      </c>
      <c r="K2" t="s">
        <v>23</v>
      </c>
      <c r="L2">
        <v>48734</v>
      </c>
      <c r="M2">
        <v>61.13</v>
      </c>
      <c r="N2">
        <v>9.4</v>
      </c>
      <c r="P2">
        <v>0</v>
      </c>
      <c r="R2" t="s">
        <v>24</v>
      </c>
      <c r="S2" t="s">
        <v>25</v>
      </c>
    </row>
    <row r="3" spans="1:20" x14ac:dyDescent="0.25">
      <c r="A3">
        <v>2</v>
      </c>
      <c r="B3" t="str">
        <f>HYPERLINK("https://imapinvasives.natureserve.org/imap/services/page/Presence/1335257.html", "View")</f>
        <v>View</v>
      </c>
      <c r="C3">
        <v>1335257</v>
      </c>
      <c r="D3">
        <v>1349534</v>
      </c>
      <c r="E3" t="str">
        <f>HYPERLINK("http://imap3images.s3-website-us-east-1.amazonaws.com/1349534/p/imap_app_photo_1686755986875.jpg", "View")</f>
        <v>View</v>
      </c>
      <c r="F3" t="s">
        <v>20</v>
      </c>
      <c r="G3" t="s">
        <v>21</v>
      </c>
      <c r="H3">
        <v>57278</v>
      </c>
      <c r="I3" t="str">
        <f>HYPERLINK("https://www.inaturalist.org/taxa/57278-Ailanthus-altissima", "View")</f>
        <v>View</v>
      </c>
      <c r="J3" t="s">
        <v>20</v>
      </c>
      <c r="K3" t="s">
        <v>26</v>
      </c>
      <c r="L3">
        <v>57278</v>
      </c>
      <c r="M3">
        <v>82.1</v>
      </c>
      <c r="N3">
        <v>99.61</v>
      </c>
      <c r="P3">
        <v>1</v>
      </c>
      <c r="R3" t="s">
        <v>27</v>
      </c>
      <c r="S3" t="s">
        <v>28</v>
      </c>
    </row>
    <row r="4" spans="1:20" x14ac:dyDescent="0.25">
      <c r="A4">
        <v>3</v>
      </c>
      <c r="B4" t="str">
        <f>HYPERLINK("https://imapinvasives.natureserve.org/imap/services/page/Presence/1023561.html", "View")</f>
        <v>View</v>
      </c>
      <c r="C4">
        <v>1023561</v>
      </c>
      <c r="D4">
        <v>1024148</v>
      </c>
      <c r="E4" t="str">
        <f>HYPERLINK("http://imap3images.s3-website-us-east-1.amazonaws.com/1024148/p/20190728_172117.jpg", "View")</f>
        <v>View</v>
      </c>
      <c r="F4" t="s">
        <v>20</v>
      </c>
      <c r="G4" t="s">
        <v>21</v>
      </c>
      <c r="H4">
        <v>57278</v>
      </c>
      <c r="I4" t="str">
        <f>HYPERLINK("https://www.inaturalist.org/taxa/57278-Ailanthus-altissima", "View")</f>
        <v>View</v>
      </c>
      <c r="J4" t="s">
        <v>20</v>
      </c>
      <c r="K4" t="s">
        <v>26</v>
      </c>
      <c r="L4">
        <v>57278</v>
      </c>
      <c r="M4">
        <v>12.89</v>
      </c>
      <c r="N4">
        <v>99.91</v>
      </c>
      <c r="P4">
        <v>1</v>
      </c>
      <c r="R4" t="s">
        <v>27</v>
      </c>
      <c r="S4" t="s">
        <v>28</v>
      </c>
    </row>
    <row r="5" spans="1:20" x14ac:dyDescent="0.25">
      <c r="A5">
        <v>4</v>
      </c>
      <c r="B5" t="str">
        <f>HYPERLINK("https://imapinvasives.natureserve.org/imap/services/page/Presence/1254296.html", "View")</f>
        <v>View</v>
      </c>
      <c r="C5">
        <v>1254296</v>
      </c>
      <c r="D5">
        <v>1262876</v>
      </c>
      <c r="E5" t="str">
        <f>HYPERLINK("http://imap3images.s3-website-us-east-1.amazonaws.com/1262876/p/imap_app_photo_1646776539580.jpg", "View")</f>
        <v>View</v>
      </c>
      <c r="F5" t="s">
        <v>20</v>
      </c>
      <c r="G5" t="s">
        <v>21</v>
      </c>
      <c r="H5">
        <v>57278</v>
      </c>
      <c r="I5" t="str">
        <f>HYPERLINK("https://www.inaturalist.org/taxa/54792-Juglans-cinerea", "View")</f>
        <v>View</v>
      </c>
      <c r="J5" t="s">
        <v>29</v>
      </c>
      <c r="K5" t="s">
        <v>30</v>
      </c>
      <c r="L5">
        <v>54792</v>
      </c>
      <c r="M5">
        <v>17.670000000000002</v>
      </c>
      <c r="N5">
        <v>82.53</v>
      </c>
      <c r="P5">
        <v>0</v>
      </c>
      <c r="R5" t="s">
        <v>31</v>
      </c>
      <c r="S5" t="s">
        <v>28</v>
      </c>
    </row>
    <row r="6" spans="1:20" x14ac:dyDescent="0.25">
      <c r="A6">
        <v>5</v>
      </c>
      <c r="B6" t="str">
        <f>HYPERLINK("https://imapinvasives.natureserve.org/imap/services/page/Presence/1331754.html", "View")</f>
        <v>View</v>
      </c>
      <c r="C6">
        <v>1331754</v>
      </c>
      <c r="D6">
        <v>1345270</v>
      </c>
      <c r="E6" t="str">
        <f>HYPERLINK("http://imap3images.s3-website-us-east-1.amazonaws.com/1345270/p/imap_app_photo_1684857409239.jpg", "View")</f>
        <v>View</v>
      </c>
      <c r="F6" t="s">
        <v>20</v>
      </c>
      <c r="G6" t="s">
        <v>21</v>
      </c>
      <c r="H6">
        <v>57278</v>
      </c>
      <c r="I6" t="str">
        <f>HYPERLINK("https://www.inaturalist.org/taxa/18463-Sphyrapicus-varius", "View")</f>
        <v>View</v>
      </c>
      <c r="J6" t="s">
        <v>32</v>
      </c>
      <c r="K6" t="s">
        <v>33</v>
      </c>
      <c r="L6">
        <v>18463</v>
      </c>
      <c r="M6">
        <v>30.37</v>
      </c>
      <c r="N6">
        <v>36.64</v>
      </c>
      <c r="P6">
        <v>0</v>
      </c>
      <c r="R6" t="s">
        <v>24</v>
      </c>
      <c r="S6" t="s">
        <v>34</v>
      </c>
    </row>
    <row r="7" spans="1:20" x14ac:dyDescent="0.25">
      <c r="A7">
        <v>6</v>
      </c>
      <c r="B7" t="str">
        <f>HYPERLINK("https://imapinvasives.natureserve.org/imap/services/page/Presence/1021353.html", "View")</f>
        <v>View</v>
      </c>
      <c r="C7">
        <v>1021353</v>
      </c>
      <c r="D7">
        <v>1021887</v>
      </c>
      <c r="E7" t="str">
        <f>HYPERLINK("http://imap3images.s3-website-us-east-1.amazonaws.com/1021887/p/imap_app_photo_1563112718542.jpg", "View")</f>
        <v>View</v>
      </c>
      <c r="F7" t="s">
        <v>20</v>
      </c>
      <c r="G7" t="s">
        <v>21</v>
      </c>
      <c r="H7">
        <v>57278</v>
      </c>
      <c r="I7" t="str">
        <f>HYPERLINK("https://www.inaturalist.org/taxa/57278-Ailanthus-altissima", "View")</f>
        <v>View</v>
      </c>
      <c r="J7" t="s">
        <v>20</v>
      </c>
      <c r="K7" t="s">
        <v>26</v>
      </c>
      <c r="L7">
        <v>57278</v>
      </c>
      <c r="M7">
        <v>27.06</v>
      </c>
      <c r="N7">
        <v>26.79</v>
      </c>
      <c r="P7">
        <v>1</v>
      </c>
      <c r="R7" t="s">
        <v>27</v>
      </c>
      <c r="S7" t="s">
        <v>28</v>
      </c>
    </row>
    <row r="8" spans="1:20" x14ac:dyDescent="0.25">
      <c r="A8">
        <v>7</v>
      </c>
      <c r="B8" t="str">
        <f>HYPERLINK("https://imapinvasives.natureserve.org/imap/services/page/Presence/1056342.html", "View")</f>
        <v>View</v>
      </c>
      <c r="C8">
        <v>1056342</v>
      </c>
      <c r="D8">
        <v>1060796</v>
      </c>
      <c r="E8" t="str">
        <f>HYPERLINK("http://imap3images.s3-website-us-east-1.amazonaws.com/1060796/p/TOH-FWilliams.jpg", "View")</f>
        <v>View</v>
      </c>
      <c r="F8" t="s">
        <v>20</v>
      </c>
      <c r="G8" t="s">
        <v>21</v>
      </c>
      <c r="H8">
        <v>57278</v>
      </c>
      <c r="I8" t="str">
        <f>HYPERLINK("https://www.inaturalist.org/taxa/57278-Ailanthus-altissima", "View")</f>
        <v>View</v>
      </c>
      <c r="J8" t="s">
        <v>20</v>
      </c>
      <c r="K8" t="s">
        <v>26</v>
      </c>
      <c r="L8">
        <v>57278</v>
      </c>
      <c r="M8">
        <v>8.35</v>
      </c>
      <c r="N8">
        <v>23.82</v>
      </c>
      <c r="P8">
        <v>1</v>
      </c>
      <c r="R8" t="s">
        <v>27</v>
      </c>
      <c r="S8" t="s">
        <v>35</v>
      </c>
    </row>
    <row r="9" spans="1:20" x14ac:dyDescent="0.25">
      <c r="A9">
        <v>8</v>
      </c>
      <c r="B9" t="str">
        <f>HYPERLINK("https://imapinvasives.natureserve.org/imap/services/page/Presence/1125735.html", "View")</f>
        <v>View</v>
      </c>
      <c r="C9">
        <v>1125735</v>
      </c>
      <c r="D9">
        <v>1131898</v>
      </c>
      <c r="E9" t="str">
        <f>HYPERLINK("http://imap3images.s3-website-us-east-1.amazonaws.com/1131898/p/imap_app_photo_1617106914132.jpg", "View")</f>
        <v>View</v>
      </c>
      <c r="F9" t="s">
        <v>20</v>
      </c>
      <c r="G9" t="s">
        <v>21</v>
      </c>
      <c r="H9">
        <v>57278</v>
      </c>
      <c r="I9" t="str">
        <f>HYPERLINK("https://www.inaturalist.org/taxa/209930-Jacaratia-mexicana", "View")</f>
        <v>View</v>
      </c>
      <c r="J9" t="s">
        <v>36</v>
      </c>
      <c r="K9" t="s">
        <v>37</v>
      </c>
      <c r="L9">
        <v>209930</v>
      </c>
      <c r="M9">
        <v>0</v>
      </c>
      <c r="N9">
        <v>6.87</v>
      </c>
      <c r="P9">
        <v>0</v>
      </c>
      <c r="R9" t="s">
        <v>24</v>
      </c>
      <c r="S9" t="s">
        <v>35</v>
      </c>
    </row>
    <row r="10" spans="1:20" x14ac:dyDescent="0.25">
      <c r="A10">
        <v>9</v>
      </c>
      <c r="B10" t="str">
        <f>HYPERLINK("https://imapinvasives.natureserve.org/imap/services/page/Presence/1063293.html", "View")</f>
        <v>View</v>
      </c>
      <c r="C10">
        <v>1063293</v>
      </c>
      <c r="D10">
        <v>1067980</v>
      </c>
      <c r="E10" t="str">
        <f>HYPERLINK("http://imap3images.s3-website-us-east-1.amazonaws.com/1067980/p/IMG_0047.JPG", "View")</f>
        <v>View</v>
      </c>
      <c r="F10" t="s">
        <v>20</v>
      </c>
      <c r="G10" t="s">
        <v>21</v>
      </c>
      <c r="H10">
        <v>57278</v>
      </c>
      <c r="I10" t="str">
        <f>HYPERLINK("https://www.inaturalist.org/taxa/57278-Ailanthus-altissima", "View")</f>
        <v>View</v>
      </c>
      <c r="J10" t="s">
        <v>20</v>
      </c>
      <c r="K10" t="s">
        <v>26</v>
      </c>
      <c r="L10">
        <v>57278</v>
      </c>
      <c r="M10">
        <v>10.31</v>
      </c>
      <c r="N10">
        <v>99.23</v>
      </c>
      <c r="P10">
        <v>1</v>
      </c>
      <c r="R10" t="s">
        <v>27</v>
      </c>
      <c r="S10" t="s">
        <v>28</v>
      </c>
    </row>
    <row r="11" spans="1:20" x14ac:dyDescent="0.25">
      <c r="A11">
        <v>10</v>
      </c>
      <c r="B11" t="str">
        <f>HYPERLINK("https://imapinvasives.natureserve.org/imap/services/page/Presence/1291586.html", "View")</f>
        <v>View</v>
      </c>
      <c r="C11">
        <v>1291586</v>
      </c>
      <c r="D11">
        <v>1301783</v>
      </c>
      <c r="E11" t="str">
        <f>HYPERLINK("http://imap3images.s3-website-us-east-1.amazonaws.com/1301783/p/imap_app_photo_1662500658773.jpg", "View")</f>
        <v>View</v>
      </c>
      <c r="F11" t="s">
        <v>20</v>
      </c>
      <c r="G11" t="s">
        <v>21</v>
      </c>
      <c r="H11">
        <v>57278</v>
      </c>
      <c r="I11" t="str">
        <f>HYPERLINK("https://www.inaturalist.org/taxa/57278-Ailanthus-altissima", "View")</f>
        <v>View</v>
      </c>
      <c r="J11" t="s">
        <v>20</v>
      </c>
      <c r="K11" t="s">
        <v>26</v>
      </c>
      <c r="L11">
        <v>57278</v>
      </c>
      <c r="M11">
        <v>27.69</v>
      </c>
      <c r="N11">
        <v>88.76</v>
      </c>
      <c r="P11">
        <v>1</v>
      </c>
      <c r="R11" t="s">
        <v>27</v>
      </c>
      <c r="S11" t="s">
        <v>28</v>
      </c>
    </row>
    <row r="12" spans="1:20" x14ac:dyDescent="0.25">
      <c r="A12">
        <v>11</v>
      </c>
      <c r="B12" t="str">
        <f>HYPERLINK("https://imapinvasives.natureserve.org/imap/services/page/Presence/335694.html", "View")</f>
        <v>View</v>
      </c>
      <c r="C12">
        <v>335694</v>
      </c>
      <c r="D12">
        <v>335694</v>
      </c>
      <c r="E12" t="str">
        <f>HYPERLINK("http://imap3images.s3-website-us-east-1.amazonaws.com/335694/p/photourl1_2013_08_19_matbilz_sp0urvx7.jpg", "View")</f>
        <v>View</v>
      </c>
      <c r="F12" t="s">
        <v>20</v>
      </c>
      <c r="G12" t="s">
        <v>21</v>
      </c>
      <c r="H12">
        <v>57278</v>
      </c>
      <c r="I12" t="str">
        <f>HYPERLINK("https://www.inaturalist.org/taxa/57278-Ailanthus-altissima", "View")</f>
        <v>View</v>
      </c>
      <c r="J12" t="s">
        <v>20</v>
      </c>
      <c r="K12" t="s">
        <v>26</v>
      </c>
      <c r="L12">
        <v>57278</v>
      </c>
      <c r="M12">
        <v>18.649999999999999</v>
      </c>
      <c r="N12">
        <v>98.95</v>
      </c>
      <c r="P12">
        <v>1</v>
      </c>
      <c r="R12" t="s">
        <v>27</v>
      </c>
      <c r="S12" t="s">
        <v>28</v>
      </c>
    </row>
    <row r="13" spans="1:20" x14ac:dyDescent="0.25">
      <c r="A13">
        <v>12</v>
      </c>
      <c r="B13" t="str">
        <f>HYPERLINK("https://imapinvasives.natureserve.org/imap/services/page/Presence/1296826.html", "View")</f>
        <v>View</v>
      </c>
      <c r="C13">
        <v>1296826</v>
      </c>
      <c r="D13">
        <v>1307057</v>
      </c>
      <c r="E13" t="str">
        <f>HYPERLINK("http://imap3images.s3-website-us-east-1.amazonaws.com/1307057/p/IMG_4739.JPG", "View")</f>
        <v>View</v>
      </c>
      <c r="F13" t="s">
        <v>20</v>
      </c>
      <c r="G13" t="s">
        <v>21</v>
      </c>
      <c r="H13">
        <v>57278</v>
      </c>
      <c r="I13" t="str">
        <f>HYPERLINK("https://www.inaturalist.org/taxa/57278-Ailanthus-altissima", "View")</f>
        <v>View</v>
      </c>
      <c r="J13" t="s">
        <v>20</v>
      </c>
      <c r="K13" t="s">
        <v>26</v>
      </c>
      <c r="L13">
        <v>57278</v>
      </c>
      <c r="M13">
        <v>56.26</v>
      </c>
      <c r="N13">
        <v>98.91</v>
      </c>
      <c r="P13">
        <v>1</v>
      </c>
      <c r="R13" t="s">
        <v>27</v>
      </c>
      <c r="S13" t="s">
        <v>28</v>
      </c>
    </row>
    <row r="14" spans="1:20" x14ac:dyDescent="0.25">
      <c r="A14">
        <v>13</v>
      </c>
      <c r="B14" t="str">
        <f>HYPERLINK("https://imapinvasives.natureserve.org/imap/services/page/Presence/1179797.html", "View")</f>
        <v>View</v>
      </c>
      <c r="C14">
        <v>1179797</v>
      </c>
      <c r="D14">
        <v>1187618</v>
      </c>
      <c r="E14" t="str">
        <f>HYPERLINK("http://imap3images.s3-website-us-east-1.amazonaws.com/1187618/p/imap_app_photo_1635867788653.jpg", "View")</f>
        <v>View</v>
      </c>
      <c r="F14" t="s">
        <v>20</v>
      </c>
      <c r="G14" t="s">
        <v>21</v>
      </c>
      <c r="H14">
        <v>57278</v>
      </c>
      <c r="I14" t="str">
        <f>HYPERLINK("https://www.inaturalist.org/taxa/163451-Gymnocladus-dioicus", "View")</f>
        <v>View</v>
      </c>
      <c r="J14" t="s">
        <v>38</v>
      </c>
      <c r="K14" t="s">
        <v>39</v>
      </c>
      <c r="L14">
        <v>163451</v>
      </c>
      <c r="M14">
        <v>33.130000000000003</v>
      </c>
      <c r="N14">
        <v>71.02</v>
      </c>
      <c r="P14">
        <v>0</v>
      </c>
      <c r="R14" t="s">
        <v>31</v>
      </c>
      <c r="S14" t="s">
        <v>40</v>
      </c>
    </row>
    <row r="15" spans="1:20" x14ac:dyDescent="0.25">
      <c r="A15">
        <v>14</v>
      </c>
      <c r="B15" t="str">
        <f>HYPERLINK("https://imapinvasives.natureserve.org/imap/services/page/Presence/1282289.html", "View")</f>
        <v>View</v>
      </c>
      <c r="C15">
        <v>1282289</v>
      </c>
      <c r="D15">
        <v>1291753</v>
      </c>
      <c r="E15" t="str">
        <f>HYPERLINK("http://imap3images.s3-website-us-east-1.amazonaws.com/1291753/p/imap_app_photo_1657827146511.jpg", "View")</f>
        <v>View</v>
      </c>
      <c r="F15" t="s">
        <v>20</v>
      </c>
      <c r="G15" t="s">
        <v>21</v>
      </c>
      <c r="H15">
        <v>57278</v>
      </c>
      <c r="I15" t="str">
        <f>HYPERLINK("https://www.inaturalist.org/taxa/57278-Ailanthus-altissima", "View")</f>
        <v>View</v>
      </c>
      <c r="J15" t="s">
        <v>20</v>
      </c>
      <c r="K15" t="s">
        <v>26</v>
      </c>
      <c r="L15">
        <v>57278</v>
      </c>
      <c r="M15">
        <v>7.37</v>
      </c>
      <c r="N15">
        <v>87.65</v>
      </c>
      <c r="P15">
        <v>1</v>
      </c>
      <c r="R15" t="s">
        <v>27</v>
      </c>
      <c r="S15" t="s">
        <v>28</v>
      </c>
    </row>
    <row r="16" spans="1:20" x14ac:dyDescent="0.25">
      <c r="A16">
        <v>15</v>
      </c>
      <c r="B16" t="str">
        <f>HYPERLINK("https://imapinvasives.natureserve.org/imap/services/page/Presence/1064679.html", "View")</f>
        <v>View</v>
      </c>
      <c r="C16">
        <v>1064679</v>
      </c>
      <c r="D16">
        <v>1069431</v>
      </c>
      <c r="E16" t="str">
        <f>HYPERLINK("http://imap3images.s3-website-us-east-1.amazonaws.com/1069431/p/imap_app_photo_1598969910144.jpg", "View")</f>
        <v>View</v>
      </c>
      <c r="F16" t="s">
        <v>20</v>
      </c>
      <c r="G16" t="s">
        <v>21</v>
      </c>
      <c r="H16">
        <v>57278</v>
      </c>
      <c r="I16" t="str">
        <f>HYPERLINK("https://www.inaturalist.org/taxa/57278-Ailanthus-altissima", "View")</f>
        <v>View</v>
      </c>
      <c r="J16" t="s">
        <v>20</v>
      </c>
      <c r="K16" t="s">
        <v>26</v>
      </c>
      <c r="L16">
        <v>57278</v>
      </c>
      <c r="M16">
        <v>10.08</v>
      </c>
      <c r="N16">
        <v>96.44</v>
      </c>
      <c r="P16">
        <v>1</v>
      </c>
      <c r="R16" t="s">
        <v>27</v>
      </c>
      <c r="S16" t="s">
        <v>28</v>
      </c>
    </row>
    <row r="17" spans="1:19" x14ac:dyDescent="0.25">
      <c r="A17">
        <v>16</v>
      </c>
      <c r="B17" t="str">
        <f>HYPERLINK("https://imapinvasives.natureserve.org/imap/services/page/Presence/1157718.html", "View")</f>
        <v>View</v>
      </c>
      <c r="C17">
        <v>1157718</v>
      </c>
      <c r="D17">
        <v>1164771</v>
      </c>
      <c r="E17" t="str">
        <f>HYPERLINK("http://imap3images.s3-website-us-east-1.amazonaws.com/1164771/p/imap_app_photo_1628700687318.jpg", "View")</f>
        <v>View</v>
      </c>
      <c r="F17" t="s">
        <v>20</v>
      </c>
      <c r="G17" t="s">
        <v>21</v>
      </c>
      <c r="H17">
        <v>57278</v>
      </c>
      <c r="I17" t="str">
        <f>HYPERLINK("https://www.inaturalist.org/taxa/57278-Ailanthus-altissima", "View")</f>
        <v>View</v>
      </c>
      <c r="J17" t="s">
        <v>20</v>
      </c>
      <c r="K17" t="s">
        <v>26</v>
      </c>
      <c r="L17">
        <v>57278</v>
      </c>
      <c r="M17">
        <v>32.21</v>
      </c>
      <c r="N17">
        <v>97.55</v>
      </c>
      <c r="P17">
        <v>1</v>
      </c>
      <c r="R17" t="s">
        <v>27</v>
      </c>
      <c r="S17" t="s">
        <v>28</v>
      </c>
    </row>
    <row r="18" spans="1:19" x14ac:dyDescent="0.25">
      <c r="A18">
        <v>17</v>
      </c>
      <c r="B18" t="str">
        <f>HYPERLINK("https://imapinvasives.natureserve.org/imap/services/page/Presence/525554.html", "View")</f>
        <v>View</v>
      </c>
      <c r="C18">
        <v>525554</v>
      </c>
      <c r="D18">
        <v>525554</v>
      </c>
      <c r="E18" t="str">
        <f>HYPERLINK("http://imap3images.s3-website-us-east-1.amazonaws.com/525554/p/photourl1_2018_05_17_ramponce_6sv77ff1.jpg", "View")</f>
        <v>View</v>
      </c>
      <c r="F18" t="s">
        <v>20</v>
      </c>
      <c r="G18" t="s">
        <v>21</v>
      </c>
      <c r="H18">
        <v>57278</v>
      </c>
      <c r="I18" t="str">
        <f>HYPERLINK("https://www.inaturalist.org/taxa/54504-Juglans-nigra", "View")</f>
        <v>View</v>
      </c>
      <c r="J18" t="s">
        <v>41</v>
      </c>
      <c r="K18" t="s">
        <v>42</v>
      </c>
      <c r="L18">
        <v>54504</v>
      </c>
      <c r="M18">
        <v>76.22</v>
      </c>
      <c r="N18">
        <v>13.46</v>
      </c>
      <c r="P18">
        <v>0</v>
      </c>
      <c r="R18" t="s">
        <v>24</v>
      </c>
      <c r="S18" t="s">
        <v>25</v>
      </c>
    </row>
    <row r="19" spans="1:19" x14ac:dyDescent="0.25">
      <c r="A19">
        <v>18</v>
      </c>
      <c r="B19" t="str">
        <f>HYPERLINK("https://imapinvasives.natureserve.org/imap/services/page/Presence/530727.html", "View")</f>
        <v>View</v>
      </c>
      <c r="C19">
        <v>530727</v>
      </c>
      <c r="D19">
        <v>530727</v>
      </c>
      <c r="E19" t="str">
        <f>HYPERLINK("http://imap3images.s3-website-us-east-1.amazonaws.com/530727/p/photourl1_2018_06_19_julisnardi_ictvlrdh.jpg", "View")</f>
        <v>View</v>
      </c>
      <c r="F19" t="s">
        <v>20</v>
      </c>
      <c r="G19" t="s">
        <v>21</v>
      </c>
      <c r="H19">
        <v>57278</v>
      </c>
      <c r="I19" t="str">
        <f>HYPERLINK("https://www.inaturalist.org/taxa/57278-Ailanthus-altissima", "View")</f>
        <v>View</v>
      </c>
      <c r="J19" t="s">
        <v>20</v>
      </c>
      <c r="K19" t="s">
        <v>26</v>
      </c>
      <c r="L19">
        <v>57278</v>
      </c>
      <c r="M19">
        <v>5.49</v>
      </c>
      <c r="N19">
        <v>98.91</v>
      </c>
      <c r="P19">
        <v>1</v>
      </c>
      <c r="R19" t="s">
        <v>27</v>
      </c>
      <c r="S19" t="s">
        <v>28</v>
      </c>
    </row>
    <row r="20" spans="1:19" x14ac:dyDescent="0.25">
      <c r="A20">
        <v>19</v>
      </c>
      <c r="B20" t="str">
        <f>HYPERLINK("https://imapinvasives.natureserve.org/imap/services/page/Presence/1018319.html", "View")</f>
        <v>View</v>
      </c>
      <c r="C20">
        <v>1018319</v>
      </c>
      <c r="D20">
        <v>1018838</v>
      </c>
      <c r="E20" t="str">
        <f>HYPERLINK("http://imap3images.s3-website-us-east-1.amazonaws.com/1018838/p/hostPhoto-20180911-142246.jpg", "View")</f>
        <v>View</v>
      </c>
      <c r="F20" t="s">
        <v>20</v>
      </c>
      <c r="G20" t="s">
        <v>21</v>
      </c>
      <c r="H20">
        <v>57278</v>
      </c>
      <c r="I20" t="str">
        <f>HYPERLINK("https://www.inaturalist.org/taxa/57278-Ailanthus-altissima", "View")</f>
        <v>View</v>
      </c>
      <c r="J20" t="s">
        <v>20</v>
      </c>
      <c r="K20" t="s">
        <v>26</v>
      </c>
      <c r="L20">
        <v>57278</v>
      </c>
      <c r="M20">
        <v>14.62</v>
      </c>
      <c r="N20">
        <v>13.2</v>
      </c>
      <c r="P20">
        <v>1</v>
      </c>
      <c r="R20" t="s">
        <v>27</v>
      </c>
      <c r="S20" t="s">
        <v>34</v>
      </c>
    </row>
    <row r="21" spans="1:19" x14ac:dyDescent="0.25">
      <c r="A21">
        <v>20</v>
      </c>
      <c r="B21" t="str">
        <f>HYPERLINK("https://imapinvasives.natureserve.org/imap/services/page/Presence/1021307.html", "View")</f>
        <v>View</v>
      </c>
      <c r="C21">
        <v>1021307</v>
      </c>
      <c r="D21">
        <v>1021841</v>
      </c>
      <c r="E21" t="str">
        <f>HYPERLINK("http://imap3images.s3-website-us-east-1.amazonaws.com/1021841/p/IMG_6002.JPG", "View")</f>
        <v>View</v>
      </c>
      <c r="F21" t="s">
        <v>20</v>
      </c>
      <c r="G21" t="s">
        <v>21</v>
      </c>
      <c r="H21">
        <v>57278</v>
      </c>
      <c r="I21" t="str">
        <f>HYPERLINK("https://www.inaturalist.org/taxa/57278-Ailanthus-altissima", "View")</f>
        <v>View</v>
      </c>
      <c r="J21" t="s">
        <v>20</v>
      </c>
      <c r="K21" t="s">
        <v>26</v>
      </c>
      <c r="L21">
        <v>57278</v>
      </c>
      <c r="M21">
        <v>27.06</v>
      </c>
      <c r="N21">
        <v>52.83</v>
      </c>
      <c r="P21">
        <v>1</v>
      </c>
      <c r="R21" t="s">
        <v>27</v>
      </c>
      <c r="S21" t="s">
        <v>28</v>
      </c>
    </row>
    <row r="22" spans="1:19" x14ac:dyDescent="0.25">
      <c r="A22">
        <v>21</v>
      </c>
      <c r="B22" t="str">
        <f>HYPERLINK("https://imapinvasives.natureserve.org/imap/services/page/Presence/1355113.html", "View")</f>
        <v>View</v>
      </c>
      <c r="C22">
        <v>1355113</v>
      </c>
      <c r="D22">
        <v>1372745</v>
      </c>
      <c r="E22" t="str">
        <f>HYPERLINK("http://imap3images.s3-website-us-east-1.amazonaws.com/1372745/p/16619461680187446308400527083499.jpg", "View")</f>
        <v>View</v>
      </c>
      <c r="F22" t="s">
        <v>20</v>
      </c>
      <c r="G22" t="s">
        <v>21</v>
      </c>
      <c r="H22">
        <v>57278</v>
      </c>
      <c r="I22" t="str">
        <f>HYPERLINK("https://www.inaturalist.org/taxa/57278-Ailanthus-altissima", "View")</f>
        <v>View</v>
      </c>
      <c r="J22" t="s">
        <v>20</v>
      </c>
      <c r="K22" t="s">
        <v>26</v>
      </c>
      <c r="L22">
        <v>57278</v>
      </c>
      <c r="M22">
        <v>82.1</v>
      </c>
      <c r="N22">
        <v>56.5</v>
      </c>
      <c r="P22">
        <v>1</v>
      </c>
      <c r="R22" t="s">
        <v>27</v>
      </c>
      <c r="S22" t="s">
        <v>28</v>
      </c>
    </row>
    <row r="23" spans="1:19" x14ac:dyDescent="0.25">
      <c r="A23">
        <v>22</v>
      </c>
      <c r="B23" t="str">
        <f>HYPERLINK("https://imapinvasives.natureserve.org/imap/services/page/Presence/1018279.html", "View")</f>
        <v>View</v>
      </c>
      <c r="C23">
        <v>1018279</v>
      </c>
      <c r="D23">
        <v>1018798</v>
      </c>
      <c r="E23" t="str">
        <f>HYPERLINK("http://imap3images.s3-website-us-east-1.amazonaws.com/1018798/p/hostPhoto-20181101-174245.jpg", "View")</f>
        <v>View</v>
      </c>
      <c r="F23" t="s">
        <v>20</v>
      </c>
      <c r="G23" t="s">
        <v>21</v>
      </c>
      <c r="H23">
        <v>57278</v>
      </c>
      <c r="I23" t="str">
        <f>HYPERLINK("https://www.inaturalist.org/taxa/54859-Celtis-tenuifolia", "View")</f>
        <v>View</v>
      </c>
      <c r="J23" t="s">
        <v>43</v>
      </c>
      <c r="K23" t="s">
        <v>44</v>
      </c>
      <c r="L23">
        <v>54859</v>
      </c>
      <c r="M23">
        <v>0.34</v>
      </c>
      <c r="N23">
        <v>7.81</v>
      </c>
      <c r="P23">
        <v>0</v>
      </c>
      <c r="R23" t="s">
        <v>24</v>
      </c>
      <c r="S23" t="s">
        <v>34</v>
      </c>
    </row>
    <row r="24" spans="1:19" x14ac:dyDescent="0.25">
      <c r="A24">
        <v>23</v>
      </c>
      <c r="B24" t="str">
        <f>HYPERLINK("https://imapinvasives.natureserve.org/imap/services/page/Presence/1159585.html", "View")</f>
        <v>View</v>
      </c>
      <c r="C24">
        <v>1159585</v>
      </c>
      <c r="D24">
        <v>1166682</v>
      </c>
      <c r="E24" t="str">
        <f>HYPERLINK("http://imap3images.s3-website-us-east-1.amazonaws.com/1166682/p/imap_app_photo_1629650123772.jpg", "View")</f>
        <v>View</v>
      </c>
      <c r="F24" t="s">
        <v>20</v>
      </c>
      <c r="G24" t="s">
        <v>21</v>
      </c>
      <c r="H24">
        <v>57278</v>
      </c>
      <c r="I24" t="str">
        <f>HYPERLINK("https://www.inaturalist.org/taxa/57278-Ailanthus-altissima", "View")</f>
        <v>View</v>
      </c>
      <c r="J24" t="s">
        <v>20</v>
      </c>
      <c r="K24" t="s">
        <v>26</v>
      </c>
      <c r="L24">
        <v>57278</v>
      </c>
      <c r="M24">
        <v>7.37</v>
      </c>
      <c r="N24">
        <v>99.08</v>
      </c>
      <c r="P24">
        <v>1</v>
      </c>
      <c r="R24" t="s">
        <v>27</v>
      </c>
      <c r="S24" t="s">
        <v>28</v>
      </c>
    </row>
    <row r="25" spans="1:19" x14ac:dyDescent="0.25">
      <c r="A25">
        <v>24</v>
      </c>
      <c r="B25" t="str">
        <f>HYPERLINK("https://imapinvasives.natureserve.org/imap/services/page/Presence/1113530.html", "View")</f>
        <v>View</v>
      </c>
      <c r="C25">
        <v>1113530</v>
      </c>
      <c r="D25">
        <v>1119523</v>
      </c>
      <c r="E25" t="str">
        <f>HYPERLINK("http://imap3images.s3-website-us-east-1.amazonaws.com/1119523/p/imap_app_photo_1610048531042.jpg", "View")</f>
        <v>View</v>
      </c>
      <c r="F25" t="s">
        <v>20</v>
      </c>
      <c r="G25" t="s">
        <v>21</v>
      </c>
      <c r="H25">
        <v>57278</v>
      </c>
      <c r="I25" t="str">
        <f>HYPERLINK("https://www.inaturalist.org/taxa/54787-Carya-cordiformis", "View")</f>
        <v>View</v>
      </c>
      <c r="J25" t="s">
        <v>45</v>
      </c>
      <c r="K25" t="s">
        <v>46</v>
      </c>
      <c r="L25">
        <v>54787</v>
      </c>
      <c r="M25">
        <v>14.33</v>
      </c>
      <c r="N25">
        <v>18.13</v>
      </c>
      <c r="P25">
        <v>0</v>
      </c>
      <c r="R25" t="s">
        <v>31</v>
      </c>
      <c r="S25" t="s">
        <v>28</v>
      </c>
    </row>
    <row r="26" spans="1:19" x14ac:dyDescent="0.25">
      <c r="A26">
        <v>25</v>
      </c>
      <c r="B26" t="str">
        <f>HYPERLINK("https://imapinvasives.natureserve.org/imap/services/page/Presence/1063611.html", "View")</f>
        <v>View</v>
      </c>
      <c r="C26">
        <v>1063611</v>
      </c>
      <c r="D26">
        <v>1068298</v>
      </c>
      <c r="E26" t="str">
        <f>HYPERLINK("http://imap3images.s3-website-us-east-1.amazonaws.com/1068298/p/imap_app_photo_1597843074826.jpg", "View")</f>
        <v>View</v>
      </c>
      <c r="F26" t="s">
        <v>20</v>
      </c>
      <c r="G26" t="s">
        <v>21</v>
      </c>
      <c r="H26">
        <v>57278</v>
      </c>
      <c r="I26" t="str">
        <f>HYPERLINK("https://www.inaturalist.org/taxa/57278-Ailanthus-altissima", "View")</f>
        <v>View</v>
      </c>
      <c r="J26" t="s">
        <v>20</v>
      </c>
      <c r="K26" t="s">
        <v>26</v>
      </c>
      <c r="L26">
        <v>57278</v>
      </c>
      <c r="M26">
        <v>33.44</v>
      </c>
      <c r="N26">
        <v>99.36</v>
      </c>
      <c r="P26">
        <v>1</v>
      </c>
      <c r="R26" t="s">
        <v>27</v>
      </c>
      <c r="S26" t="s">
        <v>28</v>
      </c>
    </row>
    <row r="27" spans="1:19" x14ac:dyDescent="0.25">
      <c r="A27">
        <v>26</v>
      </c>
      <c r="B27" t="str">
        <f>HYPERLINK("https://imapinvasives.natureserve.org/imap/services/page/Presence/1340702.html", "View")</f>
        <v>View</v>
      </c>
      <c r="C27">
        <v>1340702</v>
      </c>
      <c r="D27">
        <v>1355874</v>
      </c>
      <c r="E27" t="str">
        <f>HYPERLINK("http://imap3images.s3-website-us-east-1.amazonaws.com/1355874/p/imap_app_photo_1689373470366.jpg", "View")</f>
        <v>View</v>
      </c>
      <c r="F27" t="s">
        <v>20</v>
      </c>
      <c r="G27" t="s">
        <v>21</v>
      </c>
      <c r="H27">
        <v>57278</v>
      </c>
      <c r="I27" t="str">
        <f>HYPERLINK("https://www.inaturalist.org/taxa/57278-Ailanthus-altissima", "View")</f>
        <v>View</v>
      </c>
      <c r="J27" t="s">
        <v>20</v>
      </c>
      <c r="K27" t="s">
        <v>26</v>
      </c>
      <c r="L27">
        <v>57278</v>
      </c>
      <c r="M27">
        <v>37.65</v>
      </c>
      <c r="N27">
        <v>84.1</v>
      </c>
      <c r="P27">
        <v>1</v>
      </c>
      <c r="R27" t="s">
        <v>27</v>
      </c>
      <c r="S27" t="s">
        <v>28</v>
      </c>
    </row>
    <row r="28" spans="1:19" x14ac:dyDescent="0.25">
      <c r="A28">
        <v>27</v>
      </c>
      <c r="B28" t="str">
        <f>HYPERLINK("https://imapinvasives.natureserve.org/imap/services/page/Presence/1021868.html", "View")</f>
        <v>View</v>
      </c>
      <c r="C28">
        <v>1021868</v>
      </c>
      <c r="D28">
        <v>1022413</v>
      </c>
      <c r="E28" t="str">
        <f>HYPERLINK("http://imap3images.s3-website-us-east-1.amazonaws.com/1022413/p/imap_app_photo_1563314446898.jpg", "View")</f>
        <v>View</v>
      </c>
      <c r="F28" t="s">
        <v>20</v>
      </c>
      <c r="G28" t="s">
        <v>21</v>
      </c>
      <c r="H28">
        <v>57278</v>
      </c>
      <c r="I28" t="str">
        <f>HYPERLINK("https://www.inaturalist.org/taxa/57278-Ailanthus-altissima", "View")</f>
        <v>View</v>
      </c>
      <c r="J28" t="s">
        <v>20</v>
      </c>
      <c r="K28" t="s">
        <v>26</v>
      </c>
      <c r="L28">
        <v>57278</v>
      </c>
      <c r="M28">
        <v>56.26</v>
      </c>
      <c r="N28">
        <v>99.96</v>
      </c>
      <c r="P28">
        <v>1</v>
      </c>
      <c r="R28" t="s">
        <v>27</v>
      </c>
      <c r="S28" t="s">
        <v>28</v>
      </c>
    </row>
    <row r="29" spans="1:19" x14ac:dyDescent="0.25">
      <c r="A29">
        <v>28</v>
      </c>
      <c r="B29" t="str">
        <f>HYPERLINK("https://imapinvasives.natureserve.org/imap/services/page/Presence/1412071.html", "View")</f>
        <v>View</v>
      </c>
      <c r="C29">
        <v>1412071</v>
      </c>
      <c r="D29">
        <v>1424767</v>
      </c>
      <c r="E29" t="str">
        <f>HYPERLINK("http://imap3images.s3-website-us-east-1.amazonaws.com/1424767/p/20240616_125246.jpg", "View")</f>
        <v>View</v>
      </c>
      <c r="F29" t="s">
        <v>20</v>
      </c>
      <c r="G29" t="s">
        <v>21</v>
      </c>
      <c r="H29">
        <v>57278</v>
      </c>
      <c r="I29" t="str">
        <f>HYPERLINK("https://www.inaturalist.org/taxa/54504-Juglans-nigra", "View")</f>
        <v>View</v>
      </c>
      <c r="J29" t="s">
        <v>41</v>
      </c>
      <c r="K29" t="s">
        <v>42</v>
      </c>
      <c r="L29">
        <v>54504</v>
      </c>
      <c r="M29">
        <v>34</v>
      </c>
      <c r="N29">
        <v>18.760000000000002</v>
      </c>
      <c r="P29">
        <v>0</v>
      </c>
      <c r="R29" t="s">
        <v>31</v>
      </c>
      <c r="S29" t="s">
        <v>28</v>
      </c>
    </row>
    <row r="30" spans="1:19" x14ac:dyDescent="0.25">
      <c r="A30">
        <v>29</v>
      </c>
      <c r="B30" t="str">
        <f>HYPERLINK("https://imapinvasives.natureserve.org/imap/services/page/Presence/1284972.html", "View")</f>
        <v>View</v>
      </c>
      <c r="C30">
        <v>1284972</v>
      </c>
      <c r="D30">
        <v>1294552</v>
      </c>
      <c r="E30" t="str">
        <f>HYPERLINK("http://imap3images.s3-website-us-east-1.amazonaws.com/1294552/p/imap_app_photo_1659553833682.jpg", "View")</f>
        <v>View</v>
      </c>
      <c r="F30" t="s">
        <v>20</v>
      </c>
      <c r="G30" t="s">
        <v>21</v>
      </c>
      <c r="H30">
        <v>57278</v>
      </c>
      <c r="I30" t="str">
        <f>HYPERLINK("https://www.inaturalist.org/taxa/57278-Ailanthus-altissima", "View")</f>
        <v>View</v>
      </c>
      <c r="J30" t="s">
        <v>20</v>
      </c>
      <c r="K30" t="s">
        <v>26</v>
      </c>
      <c r="L30">
        <v>57278</v>
      </c>
      <c r="M30">
        <v>10.53</v>
      </c>
      <c r="N30">
        <v>46.4</v>
      </c>
      <c r="P30">
        <v>1</v>
      </c>
      <c r="R30" t="s">
        <v>27</v>
      </c>
      <c r="S30" t="s">
        <v>35</v>
      </c>
    </row>
    <row r="31" spans="1:19" x14ac:dyDescent="0.25">
      <c r="A31">
        <v>30</v>
      </c>
      <c r="B31" t="str">
        <f>HYPERLINK("https://imapinvasives.natureserve.org/imap/services/page/Presence/1336152.html", "View")</f>
        <v>View</v>
      </c>
      <c r="C31">
        <v>1336152</v>
      </c>
      <c r="D31">
        <v>1350525</v>
      </c>
      <c r="E31" t="str">
        <f>HYPERLINK("http://imap3images.s3-website-us-east-1.amazonaws.com/1350525/p/imap_app_photo_1687393761057.jpg", "View")</f>
        <v>View</v>
      </c>
      <c r="F31" t="s">
        <v>20</v>
      </c>
      <c r="G31" t="s">
        <v>21</v>
      </c>
      <c r="H31">
        <v>57278</v>
      </c>
      <c r="I31" t="str">
        <f>HYPERLINK("https://www.inaturalist.org/taxa/57278-Ailanthus-altissima", "View")</f>
        <v>View</v>
      </c>
      <c r="J31" t="s">
        <v>20</v>
      </c>
      <c r="K31" t="s">
        <v>26</v>
      </c>
      <c r="L31">
        <v>57278</v>
      </c>
      <c r="M31">
        <v>14.62</v>
      </c>
      <c r="N31">
        <v>88.87</v>
      </c>
      <c r="P31">
        <v>1</v>
      </c>
      <c r="R31" t="s">
        <v>27</v>
      </c>
      <c r="S31" t="s">
        <v>28</v>
      </c>
    </row>
    <row r="32" spans="1:19" x14ac:dyDescent="0.25">
      <c r="A32">
        <v>31</v>
      </c>
      <c r="B32" t="str">
        <f>HYPERLINK("https://imapinvasives.natureserve.org/imap/services/page/Presence/532204.html", "View")</f>
        <v>View</v>
      </c>
      <c r="C32">
        <v>532204</v>
      </c>
      <c r="D32">
        <v>532204</v>
      </c>
      <c r="E32" t="str">
        <f>HYPERLINK("http://imap3images.s3-website-us-east-1.amazonaws.com/532204/p/photourl1_2018_10_18_zacsimek_rkymmdqq.jpg", "View")</f>
        <v>View</v>
      </c>
      <c r="F32" t="s">
        <v>20</v>
      </c>
      <c r="G32" t="s">
        <v>21</v>
      </c>
      <c r="H32">
        <v>57278</v>
      </c>
      <c r="I32" t="str">
        <f>HYPERLINK("https://www.inaturalist.org/taxa/57278-Ailanthus-altissima", "View")</f>
        <v>View</v>
      </c>
      <c r="J32" t="s">
        <v>20</v>
      </c>
      <c r="K32" t="s">
        <v>26</v>
      </c>
      <c r="L32">
        <v>57278</v>
      </c>
      <c r="M32">
        <v>10.53</v>
      </c>
      <c r="N32">
        <v>52.04</v>
      </c>
      <c r="P32">
        <v>1</v>
      </c>
      <c r="R32" t="s">
        <v>27</v>
      </c>
      <c r="S32" t="s">
        <v>28</v>
      </c>
    </row>
    <row r="33" spans="1:19" x14ac:dyDescent="0.25">
      <c r="A33">
        <v>32</v>
      </c>
      <c r="B33" t="str">
        <f>HYPERLINK("https://imapinvasives.natureserve.org/imap/services/page/Presence/1443675.html", "View")</f>
        <v>View</v>
      </c>
      <c r="C33">
        <v>1443675</v>
      </c>
      <c r="D33">
        <v>1458325</v>
      </c>
      <c r="E33" t="str">
        <f>HYPERLINK("http://imap3images.s3-website-us-east-1.amazonaws.com/1458325/p/imap_app_photo_1725302244036.jpg", "View")</f>
        <v>View</v>
      </c>
      <c r="F33" t="s">
        <v>20</v>
      </c>
      <c r="G33" t="s">
        <v>21</v>
      </c>
      <c r="H33">
        <v>57278</v>
      </c>
      <c r="I33" t="str">
        <f>HYPERLINK("https://www.inaturalist.org/taxa/57278-Ailanthus-altissima", "View")</f>
        <v>View</v>
      </c>
      <c r="J33" t="s">
        <v>20</v>
      </c>
      <c r="K33" t="s">
        <v>26</v>
      </c>
      <c r="L33">
        <v>57278</v>
      </c>
      <c r="M33">
        <v>82.1</v>
      </c>
      <c r="N33">
        <v>97.05</v>
      </c>
      <c r="P33">
        <v>1</v>
      </c>
      <c r="R33" t="s">
        <v>27</v>
      </c>
      <c r="S33" t="s">
        <v>28</v>
      </c>
    </row>
    <row r="34" spans="1:19" x14ac:dyDescent="0.25">
      <c r="A34">
        <v>33</v>
      </c>
      <c r="B34" t="str">
        <f>HYPERLINK("https://imapinvasives.natureserve.org/imap/services/page/Presence/335534.html", "View")</f>
        <v>View</v>
      </c>
      <c r="C34">
        <v>335534</v>
      </c>
      <c r="D34">
        <v>335534</v>
      </c>
      <c r="E34" t="str">
        <f>HYPERLINK("http://imap3images.s3-website-us-east-1.amazonaws.com/335534/p/photourl1_2013_07_14_jimberry_f0if96rj.jpg", "View")</f>
        <v>View</v>
      </c>
      <c r="F34" t="s">
        <v>20</v>
      </c>
      <c r="G34" t="s">
        <v>21</v>
      </c>
      <c r="H34">
        <v>57278</v>
      </c>
      <c r="I34" t="str">
        <f>HYPERLINK("https://www.inaturalist.org/taxa/57278-Ailanthus-altissima", "View")</f>
        <v>View</v>
      </c>
      <c r="J34" t="s">
        <v>20</v>
      </c>
      <c r="K34" t="s">
        <v>26</v>
      </c>
      <c r="L34">
        <v>57278</v>
      </c>
      <c r="M34">
        <v>3.73</v>
      </c>
      <c r="N34">
        <v>94.91</v>
      </c>
      <c r="P34">
        <v>1</v>
      </c>
      <c r="R34" t="s">
        <v>27</v>
      </c>
      <c r="S34" t="s">
        <v>28</v>
      </c>
    </row>
    <row r="35" spans="1:19" x14ac:dyDescent="0.25">
      <c r="A35">
        <v>34</v>
      </c>
      <c r="B35" t="str">
        <f>HYPERLINK("https://imapinvasives.natureserve.org/imap/services/page/Presence/1368039.html", "View")</f>
        <v>View</v>
      </c>
      <c r="C35">
        <v>1368039</v>
      </c>
      <c r="D35">
        <v>1386089</v>
      </c>
      <c r="E35" t="str">
        <f>HYPERLINK("http://imap3images.s3-website-us-east-1.amazonaws.com/1386089/p/imap_app_photo_1705412007585.jpg", "View")</f>
        <v>View</v>
      </c>
      <c r="F35" t="s">
        <v>20</v>
      </c>
      <c r="G35" t="s">
        <v>21</v>
      </c>
      <c r="H35">
        <v>57278</v>
      </c>
      <c r="I35" t="str">
        <f>HYPERLINK("https://www.inaturalist.org/taxa/18463-Sphyrapicus-varius", "View")</f>
        <v>View</v>
      </c>
      <c r="J35" t="s">
        <v>32</v>
      </c>
      <c r="K35" t="s">
        <v>33</v>
      </c>
      <c r="L35">
        <v>18463</v>
      </c>
      <c r="M35">
        <v>50.93</v>
      </c>
      <c r="N35">
        <v>6.08</v>
      </c>
      <c r="P35">
        <v>0</v>
      </c>
      <c r="R35" t="s">
        <v>31</v>
      </c>
      <c r="S35" t="s">
        <v>34</v>
      </c>
    </row>
    <row r="36" spans="1:19" x14ac:dyDescent="0.25">
      <c r="A36">
        <v>35</v>
      </c>
      <c r="B36" t="str">
        <f>HYPERLINK("https://imapinvasives.natureserve.org/imap/services/page/Presence/1331704.html", "View")</f>
        <v>View</v>
      </c>
      <c r="C36">
        <v>1331704</v>
      </c>
      <c r="D36">
        <v>1345204</v>
      </c>
      <c r="E36" t="str">
        <f>HYPERLINK("http://imap3images.s3-website-us-east-1.amazonaws.com/1345204/p/imap_app_photo_1684766445908.jpg", "View")</f>
        <v>View</v>
      </c>
      <c r="F36" t="s">
        <v>20</v>
      </c>
      <c r="G36" t="s">
        <v>21</v>
      </c>
      <c r="H36">
        <v>57278</v>
      </c>
      <c r="I36" t="str">
        <f>HYPERLINK("https://www.inaturalist.org/taxa/129859-Gleditsia-aquatica", "View")</f>
        <v>View</v>
      </c>
      <c r="J36" t="s">
        <v>47</v>
      </c>
      <c r="K36" t="s">
        <v>48</v>
      </c>
      <c r="L36">
        <v>129859</v>
      </c>
      <c r="M36">
        <v>0.02</v>
      </c>
      <c r="N36">
        <v>5.94</v>
      </c>
      <c r="P36">
        <v>0</v>
      </c>
      <c r="R36" t="s">
        <v>31</v>
      </c>
      <c r="S36" t="s">
        <v>28</v>
      </c>
    </row>
    <row r="37" spans="1:19" x14ac:dyDescent="0.25">
      <c r="A37">
        <v>36</v>
      </c>
      <c r="B37" t="str">
        <f>HYPERLINK("https://imapinvasives.natureserve.org/imap/services/page/Presence/514603.html", "View")</f>
        <v>View</v>
      </c>
      <c r="C37">
        <v>514603</v>
      </c>
      <c r="D37">
        <v>514603</v>
      </c>
      <c r="E37" t="str">
        <f>HYPERLINK("http://imap3images.s3-website-us-east-1.amazonaws.com/514603/p/photourl1_2017_09_07_molcharboneau_awvmh343.jpg", "View")</f>
        <v>View</v>
      </c>
      <c r="F37" t="s">
        <v>20</v>
      </c>
      <c r="G37" t="s">
        <v>21</v>
      </c>
      <c r="H37">
        <v>57278</v>
      </c>
      <c r="I37" t="str">
        <f>HYPERLINK("https://www.inaturalist.org/taxa/57278-Ailanthus-altissima", "View")</f>
        <v>View</v>
      </c>
      <c r="J37" t="s">
        <v>20</v>
      </c>
      <c r="K37" t="s">
        <v>26</v>
      </c>
      <c r="L37">
        <v>57278</v>
      </c>
      <c r="M37">
        <v>83.18</v>
      </c>
      <c r="N37">
        <v>99.73</v>
      </c>
      <c r="P37">
        <v>1</v>
      </c>
      <c r="R37" t="s">
        <v>27</v>
      </c>
      <c r="S37" t="s">
        <v>28</v>
      </c>
    </row>
    <row r="38" spans="1:19" x14ac:dyDescent="0.25">
      <c r="A38">
        <v>37</v>
      </c>
      <c r="B38" t="str">
        <f>HYPERLINK("https://imapinvasives.natureserve.org/imap/services/page/Presence/1410864.html", "View")</f>
        <v>View</v>
      </c>
      <c r="C38">
        <v>1410864</v>
      </c>
      <c r="D38">
        <v>1423404</v>
      </c>
      <c r="E38" t="str">
        <f>HYPERLINK("http://imap3images.s3-website-us-east-1.amazonaws.com/1423404/p/imap_app_photo_1717960748753.jpg", "View")</f>
        <v>View</v>
      </c>
      <c r="F38" t="s">
        <v>20</v>
      </c>
      <c r="G38" t="s">
        <v>21</v>
      </c>
      <c r="H38">
        <v>57278</v>
      </c>
      <c r="I38" t="str">
        <f>HYPERLINK("https://www.inaturalist.org/taxa/57278-Ailanthus-altissima", "View")</f>
        <v>View</v>
      </c>
      <c r="J38" t="s">
        <v>20</v>
      </c>
      <c r="K38" t="s">
        <v>26</v>
      </c>
      <c r="L38">
        <v>57278</v>
      </c>
      <c r="M38">
        <v>82.1</v>
      </c>
      <c r="N38">
        <v>94.48</v>
      </c>
      <c r="P38">
        <v>1</v>
      </c>
      <c r="R38" t="s">
        <v>27</v>
      </c>
      <c r="S38" t="s">
        <v>28</v>
      </c>
    </row>
    <row r="39" spans="1:19" x14ac:dyDescent="0.25">
      <c r="A39">
        <v>38</v>
      </c>
      <c r="B39" t="str">
        <f>HYPERLINK("https://imapinvasives.natureserve.org/imap/services/page/Presence/1018521.html", "View")</f>
        <v>View</v>
      </c>
      <c r="C39">
        <v>1018521</v>
      </c>
      <c r="D39">
        <v>1019040</v>
      </c>
      <c r="E39" t="str">
        <f>HYPERLINK("http://imap3images.s3-website-us-east-1.amazonaws.com/1019040/p/hostPhoto-20181010-172826.jpg", "View")</f>
        <v>View</v>
      </c>
      <c r="F39" t="s">
        <v>20</v>
      </c>
      <c r="G39" t="s">
        <v>21</v>
      </c>
      <c r="H39">
        <v>57278</v>
      </c>
      <c r="I39" t="str">
        <f>HYPERLINK("https://www.inaturalist.org/taxa/56088-Robinia-pseudoacacia", "View")</f>
        <v>View</v>
      </c>
      <c r="J39" t="s">
        <v>49</v>
      </c>
      <c r="K39" t="s">
        <v>50</v>
      </c>
      <c r="L39">
        <v>56088</v>
      </c>
      <c r="M39">
        <v>23.63</v>
      </c>
      <c r="N39">
        <v>21.06</v>
      </c>
      <c r="P39">
        <v>0</v>
      </c>
      <c r="R39" t="s">
        <v>24</v>
      </c>
      <c r="S39" t="s">
        <v>35</v>
      </c>
    </row>
    <row r="40" spans="1:19" x14ac:dyDescent="0.25">
      <c r="A40">
        <v>39</v>
      </c>
      <c r="B40" t="str">
        <f>HYPERLINK("https://imapinvasives.natureserve.org/imap/services/page/Presence/1020242.html", "View")</f>
        <v>View</v>
      </c>
      <c r="C40">
        <v>1020242</v>
      </c>
      <c r="D40">
        <v>1020771</v>
      </c>
      <c r="E40" t="str">
        <f>HYPERLINK("http://imap3images.s3-website-us-east-1.amazonaws.com/1020771/p/imap_app_photo_1562858025065.jpg", "View")</f>
        <v>View</v>
      </c>
      <c r="F40" t="s">
        <v>20</v>
      </c>
      <c r="G40" t="s">
        <v>21</v>
      </c>
      <c r="H40">
        <v>57278</v>
      </c>
      <c r="I40" t="str">
        <f t="shared" ref="I40:I46" si="0">HYPERLINK("https://www.inaturalist.org/taxa/57278-Ailanthus-altissima", "View")</f>
        <v>View</v>
      </c>
      <c r="J40" t="s">
        <v>20</v>
      </c>
      <c r="K40" t="s">
        <v>26</v>
      </c>
      <c r="L40">
        <v>57278</v>
      </c>
      <c r="M40">
        <v>56.26</v>
      </c>
      <c r="N40">
        <v>94.28</v>
      </c>
      <c r="P40">
        <v>1</v>
      </c>
      <c r="R40" t="s">
        <v>27</v>
      </c>
      <c r="S40" t="s">
        <v>28</v>
      </c>
    </row>
    <row r="41" spans="1:19" x14ac:dyDescent="0.25">
      <c r="A41">
        <v>40</v>
      </c>
      <c r="B41" t="str">
        <f>HYPERLINK("https://imapinvasives.natureserve.org/imap/services/page/Presence/1336314.html", "View")</f>
        <v>View</v>
      </c>
      <c r="C41">
        <v>1336314</v>
      </c>
      <c r="D41">
        <v>1350688</v>
      </c>
      <c r="E41" t="str">
        <f>HYPERLINK("http://imap3images.s3-website-us-east-1.amazonaws.com/1350688/p/imap_app_photo_1687445734771.jpg", "View")</f>
        <v>View</v>
      </c>
      <c r="F41" t="s">
        <v>20</v>
      </c>
      <c r="G41" t="s">
        <v>21</v>
      </c>
      <c r="H41">
        <v>57278</v>
      </c>
      <c r="I41" t="str">
        <f t="shared" si="0"/>
        <v>View</v>
      </c>
      <c r="J41" t="s">
        <v>20</v>
      </c>
      <c r="K41" t="s">
        <v>26</v>
      </c>
      <c r="L41">
        <v>57278</v>
      </c>
      <c r="M41">
        <v>33.44</v>
      </c>
      <c r="N41">
        <v>25.39</v>
      </c>
      <c r="P41">
        <v>1</v>
      </c>
      <c r="R41" t="s">
        <v>27</v>
      </c>
      <c r="S41" t="s">
        <v>28</v>
      </c>
    </row>
    <row r="42" spans="1:19" x14ac:dyDescent="0.25">
      <c r="A42">
        <v>41</v>
      </c>
      <c r="B42" t="str">
        <f>HYPERLINK("https://imapinvasives.natureserve.org/imap/services/page/Presence/1021857.html", "View")</f>
        <v>View</v>
      </c>
      <c r="C42">
        <v>1021857</v>
      </c>
      <c r="D42">
        <v>1022402</v>
      </c>
      <c r="E42" t="str">
        <f>HYPERLINK("http://imap3images.s3-website-us-east-1.amazonaws.com/1022402/p/imap_app_photo_1563311436959.jpg", "View")</f>
        <v>View</v>
      </c>
      <c r="F42" t="s">
        <v>20</v>
      </c>
      <c r="G42" t="s">
        <v>21</v>
      </c>
      <c r="H42">
        <v>57278</v>
      </c>
      <c r="I42" t="str">
        <f t="shared" si="0"/>
        <v>View</v>
      </c>
      <c r="J42" t="s">
        <v>20</v>
      </c>
      <c r="K42" t="s">
        <v>26</v>
      </c>
      <c r="L42">
        <v>57278</v>
      </c>
      <c r="M42">
        <v>36</v>
      </c>
      <c r="N42">
        <v>96.31</v>
      </c>
      <c r="P42">
        <v>1</v>
      </c>
      <c r="R42" t="s">
        <v>27</v>
      </c>
      <c r="S42" t="s">
        <v>28</v>
      </c>
    </row>
    <row r="43" spans="1:19" x14ac:dyDescent="0.25">
      <c r="A43">
        <v>42</v>
      </c>
      <c r="B43" t="str">
        <f>HYPERLINK("https://imapinvasives.natureserve.org/imap/services/page/Presence/1018061.html", "View")</f>
        <v>View</v>
      </c>
      <c r="C43">
        <v>1018061</v>
      </c>
      <c r="D43">
        <v>1018574</v>
      </c>
      <c r="E43" t="str">
        <f>HYPERLINK("http://imap3images.s3-website-us-east-1.amazonaws.com/1018574/p/hostPhoto-20181005-154815.jpg", "View")</f>
        <v>View</v>
      </c>
      <c r="F43" t="s">
        <v>20</v>
      </c>
      <c r="G43" t="s">
        <v>21</v>
      </c>
      <c r="H43">
        <v>57278</v>
      </c>
      <c r="I43" t="str">
        <f t="shared" si="0"/>
        <v>View</v>
      </c>
      <c r="J43" t="s">
        <v>20</v>
      </c>
      <c r="K43" t="s">
        <v>26</v>
      </c>
      <c r="L43">
        <v>57278</v>
      </c>
      <c r="M43">
        <v>7.37</v>
      </c>
      <c r="N43">
        <v>81.510000000000005</v>
      </c>
      <c r="P43">
        <v>1</v>
      </c>
      <c r="R43" t="s">
        <v>27</v>
      </c>
      <c r="S43" t="s">
        <v>35</v>
      </c>
    </row>
    <row r="44" spans="1:19" x14ac:dyDescent="0.25">
      <c r="A44">
        <v>43</v>
      </c>
      <c r="B44" t="str">
        <f>HYPERLINK("https://imapinvasives.natureserve.org/imap/services/page/Presence/529962.html", "View")</f>
        <v>View</v>
      </c>
      <c r="C44">
        <v>529962</v>
      </c>
      <c r="D44">
        <v>529962</v>
      </c>
      <c r="E44" t="str">
        <f>HYPERLINK("http://imap3images.s3-website-us-east-1.amazonaws.com/529962/p/photourl1_2018_08_09_falneske_8dcubsoh.jpg", "View")</f>
        <v>View</v>
      </c>
      <c r="F44" t="s">
        <v>20</v>
      </c>
      <c r="G44" t="s">
        <v>21</v>
      </c>
      <c r="H44">
        <v>57278</v>
      </c>
      <c r="I44" t="str">
        <f t="shared" si="0"/>
        <v>View</v>
      </c>
      <c r="J44" t="s">
        <v>20</v>
      </c>
      <c r="K44" t="s">
        <v>26</v>
      </c>
      <c r="L44">
        <v>57278</v>
      </c>
      <c r="M44">
        <v>83.18</v>
      </c>
      <c r="N44">
        <v>91.69</v>
      </c>
      <c r="P44">
        <v>1</v>
      </c>
      <c r="R44" t="s">
        <v>27</v>
      </c>
      <c r="S44" t="s">
        <v>28</v>
      </c>
    </row>
    <row r="45" spans="1:19" x14ac:dyDescent="0.25">
      <c r="A45">
        <v>44</v>
      </c>
      <c r="B45" t="str">
        <f>HYPERLINK("https://imapinvasives.natureserve.org/imap/services/page/Presence/1153271.html", "View")</f>
        <v>View</v>
      </c>
      <c r="C45">
        <v>1153271</v>
      </c>
      <c r="D45">
        <v>1160236</v>
      </c>
      <c r="E45" t="str">
        <f>HYPERLINK("http://imap3images.s3-website-us-east-1.amazonaws.com/1160236/p/imap_app_photo_1627657979954.jpg", "View")</f>
        <v>View</v>
      </c>
      <c r="F45" t="s">
        <v>20</v>
      </c>
      <c r="G45" t="s">
        <v>21</v>
      </c>
      <c r="H45">
        <v>57278</v>
      </c>
      <c r="I45" t="str">
        <f t="shared" si="0"/>
        <v>View</v>
      </c>
      <c r="J45" t="s">
        <v>20</v>
      </c>
      <c r="K45" t="s">
        <v>26</v>
      </c>
      <c r="L45">
        <v>57278</v>
      </c>
      <c r="M45">
        <v>36</v>
      </c>
      <c r="N45">
        <v>57.62</v>
      </c>
      <c r="P45">
        <v>1</v>
      </c>
      <c r="R45" t="s">
        <v>27</v>
      </c>
      <c r="S45" t="s">
        <v>28</v>
      </c>
    </row>
    <row r="46" spans="1:19" x14ac:dyDescent="0.25">
      <c r="A46">
        <v>45</v>
      </c>
      <c r="B46" t="str">
        <f>HYPERLINK("https://imapinvasives.natureserve.org/imap/services/page/Presence/1272295.html", "View")</f>
        <v>View</v>
      </c>
      <c r="C46">
        <v>1272295</v>
      </c>
      <c r="D46">
        <v>1281318</v>
      </c>
      <c r="E46" t="str">
        <f>HYPERLINK("http://imap3images.s3-website-us-east-1.amazonaws.com/1281318/p/imap_app_photo_1652958015826.jpg", "View")</f>
        <v>View</v>
      </c>
      <c r="F46" t="s">
        <v>20</v>
      </c>
      <c r="G46" t="s">
        <v>21</v>
      </c>
      <c r="H46">
        <v>57278</v>
      </c>
      <c r="I46" t="str">
        <f t="shared" si="0"/>
        <v>View</v>
      </c>
      <c r="J46" t="s">
        <v>20</v>
      </c>
      <c r="K46" t="s">
        <v>26</v>
      </c>
      <c r="L46">
        <v>57278</v>
      </c>
      <c r="M46">
        <v>76.64</v>
      </c>
      <c r="N46">
        <v>39.68</v>
      </c>
      <c r="P46">
        <v>1</v>
      </c>
      <c r="R46" t="s">
        <v>27</v>
      </c>
      <c r="S46" t="s">
        <v>28</v>
      </c>
    </row>
    <row r="47" spans="1:19" x14ac:dyDescent="0.25">
      <c r="A47">
        <v>46</v>
      </c>
      <c r="B47" t="str">
        <f>HYPERLINK("https://imapinvasives.natureserve.org/imap/services/page/Presence/1337188.html", "View")</f>
        <v>View</v>
      </c>
      <c r="C47">
        <v>1337188</v>
      </c>
      <c r="D47">
        <v>1351704</v>
      </c>
      <c r="E47" t="str">
        <f>HYPERLINK("http://imap3images.s3-website-us-east-1.amazonaws.com/1351704/p/imap_app_photo_1687635579860.jpg", "View")</f>
        <v>View</v>
      </c>
      <c r="F47" t="s">
        <v>20</v>
      </c>
      <c r="G47" t="s">
        <v>21</v>
      </c>
      <c r="H47">
        <v>57278</v>
      </c>
      <c r="I47" t="str">
        <f>HYPERLINK("https://www.inaturalist.org/taxa/167829-Rhus-typhina", "View")</f>
        <v>View</v>
      </c>
      <c r="J47" t="s">
        <v>51</v>
      </c>
      <c r="K47" t="s">
        <v>52</v>
      </c>
      <c r="L47">
        <v>167829</v>
      </c>
      <c r="M47">
        <v>60.85</v>
      </c>
      <c r="N47">
        <v>50.42</v>
      </c>
      <c r="P47">
        <v>0</v>
      </c>
      <c r="R47" t="s">
        <v>31</v>
      </c>
      <c r="S47" t="s">
        <v>28</v>
      </c>
    </row>
    <row r="48" spans="1:19" x14ac:dyDescent="0.25">
      <c r="A48">
        <v>47</v>
      </c>
      <c r="B48" t="str">
        <f>HYPERLINK("https://imapinvasives.natureserve.org/imap/services/page/Presence/531907.html", "View")</f>
        <v>View</v>
      </c>
      <c r="C48">
        <v>531907</v>
      </c>
      <c r="D48">
        <v>531907</v>
      </c>
      <c r="E48" t="str">
        <f>HYPERLINK("http://imap3images.s3-website-us-east-1.amazonaws.com/531907/p/photourl2_2018_10_05_laumartin_teitsozh.jpg", "View")</f>
        <v>View</v>
      </c>
      <c r="F48" t="s">
        <v>20</v>
      </c>
      <c r="G48" t="s">
        <v>21</v>
      </c>
      <c r="H48">
        <v>57278</v>
      </c>
      <c r="I48" t="str">
        <f>HYPERLINK("https://www.inaturalist.org/taxa/490876-Weinmannia-trichosperma", "View")</f>
        <v>View</v>
      </c>
      <c r="J48" t="s">
        <v>53</v>
      </c>
      <c r="K48" t="s">
        <v>54</v>
      </c>
      <c r="L48">
        <v>490876</v>
      </c>
      <c r="M48">
        <v>0</v>
      </c>
      <c r="N48">
        <v>17.72</v>
      </c>
      <c r="P48">
        <v>0</v>
      </c>
      <c r="R48" t="s">
        <v>31</v>
      </c>
      <c r="S48" t="s">
        <v>28</v>
      </c>
    </row>
    <row r="49" spans="1:19" x14ac:dyDescent="0.25">
      <c r="A49">
        <v>48</v>
      </c>
      <c r="B49" t="str">
        <f>HYPERLINK("https://imapinvasives.natureserve.org/imap/services/page/Presence/1150265.html", "View")</f>
        <v>View</v>
      </c>
      <c r="C49">
        <v>1150265</v>
      </c>
      <c r="D49">
        <v>1157121</v>
      </c>
      <c r="E49" t="str">
        <f>HYPERLINK("http://imap3images.s3-website-us-east-1.amazonaws.com/1157121/p/imap_app_photo_1625935878977.jpg", "View")</f>
        <v>View</v>
      </c>
      <c r="F49" t="s">
        <v>20</v>
      </c>
      <c r="G49" t="s">
        <v>21</v>
      </c>
      <c r="H49">
        <v>57278</v>
      </c>
      <c r="I49" t="str">
        <f>HYPERLINK("https://www.inaturalist.org/taxa/57278-Ailanthus-altissima", "View")</f>
        <v>View</v>
      </c>
      <c r="J49" t="s">
        <v>20</v>
      </c>
      <c r="K49" t="s">
        <v>26</v>
      </c>
      <c r="L49">
        <v>57278</v>
      </c>
      <c r="M49">
        <v>33.44</v>
      </c>
      <c r="N49">
        <v>93.42</v>
      </c>
      <c r="P49">
        <v>1</v>
      </c>
      <c r="R49" t="s">
        <v>27</v>
      </c>
      <c r="S49" t="s">
        <v>28</v>
      </c>
    </row>
    <row r="50" spans="1:19" x14ac:dyDescent="0.25">
      <c r="A50">
        <v>49</v>
      </c>
      <c r="B50" t="str">
        <f>HYPERLINK("https://imapinvasives.natureserve.org/imap/services/page/Presence/1254290.html", "View")</f>
        <v>View</v>
      </c>
      <c r="C50">
        <v>1254290</v>
      </c>
      <c r="D50">
        <v>1262870</v>
      </c>
      <c r="E50" t="str">
        <f>HYPERLINK("http://imap3images.s3-website-us-east-1.amazonaws.com/1262870/p/imap_app_photo_1646776482168.jpg", "View")</f>
        <v>View</v>
      </c>
      <c r="F50" t="s">
        <v>20</v>
      </c>
      <c r="G50" t="s">
        <v>21</v>
      </c>
      <c r="H50">
        <v>57278</v>
      </c>
      <c r="I50" t="str">
        <f>HYPERLINK("https://www.inaturalist.org/taxa/166636-Phellodendron-amurense", "View")</f>
        <v>View</v>
      </c>
      <c r="J50" t="s">
        <v>55</v>
      </c>
      <c r="K50" t="s">
        <v>56</v>
      </c>
      <c r="L50">
        <v>166636</v>
      </c>
      <c r="M50">
        <v>12.65</v>
      </c>
      <c r="N50">
        <v>15.81</v>
      </c>
      <c r="P50">
        <v>0</v>
      </c>
      <c r="R50" t="s">
        <v>31</v>
      </c>
      <c r="S50" t="s">
        <v>34</v>
      </c>
    </row>
    <row r="51" spans="1:19" x14ac:dyDescent="0.25">
      <c r="A51">
        <v>50</v>
      </c>
      <c r="B51" t="str">
        <f>HYPERLINK("https://imapinvasives.natureserve.org/imap/services/page/Presence/532121.html", "View")</f>
        <v>View</v>
      </c>
      <c r="C51">
        <v>532121</v>
      </c>
      <c r="D51">
        <v>532121</v>
      </c>
      <c r="E51" t="str">
        <f>HYPERLINK("http://imap3images.s3-website-us-east-1.amazonaws.com/532121/p/photourl1_2018_10_15_devrao_979my4rm.jpg", "View")</f>
        <v>View</v>
      </c>
      <c r="F51" t="s">
        <v>20</v>
      </c>
      <c r="G51" t="s">
        <v>21</v>
      </c>
      <c r="H51">
        <v>57278</v>
      </c>
      <c r="I51" t="str">
        <f>HYPERLINK("https://www.inaturalist.org/taxa/54504-Juglans-nigra", "View")</f>
        <v>View</v>
      </c>
      <c r="J51" t="s">
        <v>41</v>
      </c>
      <c r="K51" t="s">
        <v>42</v>
      </c>
      <c r="L51">
        <v>54504</v>
      </c>
      <c r="M51">
        <v>9.74</v>
      </c>
      <c r="N51">
        <v>12.55</v>
      </c>
      <c r="P51">
        <v>0</v>
      </c>
      <c r="R51" t="s">
        <v>31</v>
      </c>
      <c r="S51" t="s">
        <v>25</v>
      </c>
    </row>
    <row r="52" spans="1:19" x14ac:dyDescent="0.25">
      <c r="A52">
        <v>51</v>
      </c>
      <c r="B52" t="str">
        <f>HYPERLINK("https://imapinvasives.natureserve.org/imap/services/page/Presence/1023975.html", "View")</f>
        <v>View</v>
      </c>
      <c r="C52">
        <v>1023975</v>
      </c>
      <c r="D52">
        <v>1024638</v>
      </c>
      <c r="E52" t="str">
        <f>HYPERLINK("http://imap3images.s3-website-us-east-1.amazonaws.com/1024638/p/treeofheaven39.jpg", "View")</f>
        <v>View</v>
      </c>
      <c r="F52" t="s">
        <v>20</v>
      </c>
      <c r="G52" t="s">
        <v>21</v>
      </c>
      <c r="H52">
        <v>57278</v>
      </c>
      <c r="I52" t="str">
        <f t="shared" ref="I52:I57" si="1">HYPERLINK("https://www.inaturalist.org/taxa/57278-Ailanthus-altissima", "View")</f>
        <v>View</v>
      </c>
      <c r="J52" t="s">
        <v>20</v>
      </c>
      <c r="K52" t="s">
        <v>26</v>
      </c>
      <c r="L52">
        <v>57278</v>
      </c>
      <c r="M52">
        <v>76.64</v>
      </c>
      <c r="N52">
        <v>52.49</v>
      </c>
      <c r="P52">
        <v>1</v>
      </c>
      <c r="R52" t="s">
        <v>27</v>
      </c>
      <c r="S52" t="s">
        <v>25</v>
      </c>
    </row>
    <row r="53" spans="1:19" x14ac:dyDescent="0.25">
      <c r="A53">
        <v>52</v>
      </c>
      <c r="B53" t="str">
        <f>HYPERLINK("https://imapinvasives.natureserve.org/imap/services/page/Presence/1018121.html", "View")</f>
        <v>View</v>
      </c>
      <c r="C53">
        <v>1018121</v>
      </c>
      <c r="D53">
        <v>1018637</v>
      </c>
      <c r="E53" t="str">
        <f>HYPERLINK("http://imap3images.s3-website-us-east-1.amazonaws.com/1018637/p/hostPhoto-20181022-152558.jpg", "View")</f>
        <v>View</v>
      </c>
      <c r="F53" t="s">
        <v>20</v>
      </c>
      <c r="G53" t="s">
        <v>21</v>
      </c>
      <c r="H53">
        <v>57278</v>
      </c>
      <c r="I53" t="str">
        <f t="shared" si="1"/>
        <v>View</v>
      </c>
      <c r="J53" t="s">
        <v>20</v>
      </c>
      <c r="K53" t="s">
        <v>26</v>
      </c>
      <c r="L53">
        <v>57278</v>
      </c>
      <c r="M53">
        <v>3.67</v>
      </c>
      <c r="N53">
        <v>42.13</v>
      </c>
      <c r="P53">
        <v>1</v>
      </c>
      <c r="R53" t="s">
        <v>27</v>
      </c>
      <c r="S53" t="s">
        <v>28</v>
      </c>
    </row>
    <row r="54" spans="1:19" x14ac:dyDescent="0.25">
      <c r="A54">
        <v>53</v>
      </c>
      <c r="B54" t="str">
        <f>HYPERLINK("https://imapinvasives.natureserve.org/imap/services/page/Presence/528021.html", "View")</f>
        <v>View</v>
      </c>
      <c r="C54">
        <v>528021</v>
      </c>
      <c r="D54">
        <v>528021</v>
      </c>
      <c r="E54" t="str">
        <f>HYPERLINK("http://imap3images.s3-website-us-east-1.amazonaws.com/528021/p/photourl1_2018_07_03_josmarquez_ali5n09w.jpg", "View")</f>
        <v>View</v>
      </c>
      <c r="F54" t="s">
        <v>20</v>
      </c>
      <c r="G54" t="s">
        <v>21</v>
      </c>
      <c r="H54">
        <v>57278</v>
      </c>
      <c r="I54" t="str">
        <f t="shared" si="1"/>
        <v>View</v>
      </c>
      <c r="J54" t="s">
        <v>20</v>
      </c>
      <c r="K54" t="s">
        <v>26</v>
      </c>
      <c r="L54">
        <v>57278</v>
      </c>
      <c r="M54">
        <v>82.1</v>
      </c>
      <c r="N54">
        <v>77.62</v>
      </c>
      <c r="P54">
        <v>1</v>
      </c>
      <c r="R54" t="s">
        <v>27</v>
      </c>
      <c r="S54" t="s">
        <v>28</v>
      </c>
    </row>
    <row r="55" spans="1:19" x14ac:dyDescent="0.25">
      <c r="A55">
        <v>54</v>
      </c>
      <c r="B55" t="str">
        <f>HYPERLINK("https://imapinvasives.natureserve.org/imap/services/page/Presence/1298920.html", "View")</f>
        <v>View</v>
      </c>
      <c r="C55">
        <v>1298920</v>
      </c>
      <c r="D55">
        <v>1309252</v>
      </c>
      <c r="E55" t="str">
        <f>HYPERLINK("http://imap3images.s3-website-us-east-1.amazonaws.com/1309252/p/IMG_4863.jpg", "View")</f>
        <v>View</v>
      </c>
      <c r="F55" t="s">
        <v>20</v>
      </c>
      <c r="G55" t="s">
        <v>21</v>
      </c>
      <c r="H55">
        <v>57278</v>
      </c>
      <c r="I55" t="str">
        <f t="shared" si="1"/>
        <v>View</v>
      </c>
      <c r="J55" t="s">
        <v>20</v>
      </c>
      <c r="K55" t="s">
        <v>26</v>
      </c>
      <c r="L55">
        <v>57278</v>
      </c>
      <c r="M55">
        <v>24.01</v>
      </c>
      <c r="N55">
        <v>96.72</v>
      </c>
      <c r="P55">
        <v>1</v>
      </c>
      <c r="R55" t="s">
        <v>27</v>
      </c>
      <c r="S55" t="s">
        <v>28</v>
      </c>
    </row>
    <row r="56" spans="1:19" x14ac:dyDescent="0.25">
      <c r="A56">
        <v>55</v>
      </c>
      <c r="B56" t="str">
        <f>HYPERLINK("https://imapinvasives.natureserve.org/imap/services/page/Presence/1160311.html", "View")</f>
        <v>View</v>
      </c>
      <c r="C56">
        <v>1160311</v>
      </c>
      <c r="D56">
        <v>1167422</v>
      </c>
      <c r="E56" t="str">
        <f>HYPERLINK("http://imap3images.s3-website-us-east-1.amazonaws.com/1167422/p/imap_app_photo_1630082069196.jpg", "View")</f>
        <v>View</v>
      </c>
      <c r="F56" t="s">
        <v>20</v>
      </c>
      <c r="G56" t="s">
        <v>21</v>
      </c>
      <c r="H56">
        <v>57278</v>
      </c>
      <c r="I56" t="str">
        <f t="shared" si="1"/>
        <v>View</v>
      </c>
      <c r="J56" t="s">
        <v>20</v>
      </c>
      <c r="K56" t="s">
        <v>26</v>
      </c>
      <c r="L56">
        <v>57278</v>
      </c>
      <c r="M56">
        <v>36</v>
      </c>
      <c r="N56">
        <v>96.23</v>
      </c>
      <c r="P56">
        <v>1</v>
      </c>
      <c r="R56" t="s">
        <v>27</v>
      </c>
      <c r="S56" t="s">
        <v>28</v>
      </c>
    </row>
    <row r="57" spans="1:19" x14ac:dyDescent="0.25">
      <c r="A57">
        <v>56</v>
      </c>
      <c r="B57" t="str">
        <f>HYPERLINK("https://imapinvasives.natureserve.org/imap/services/page/Presence/1361987.html", "View")</f>
        <v>View</v>
      </c>
      <c r="C57">
        <v>1361987</v>
      </c>
      <c r="D57">
        <v>1379627</v>
      </c>
      <c r="E57" t="str">
        <f>HYPERLINK("http://imap3images.s3-website-us-east-1.amazonaws.com/1379627/p/imap_app_photo_1698260511297.jpg", "View")</f>
        <v>View</v>
      </c>
      <c r="F57" t="s">
        <v>20</v>
      </c>
      <c r="G57" t="s">
        <v>21</v>
      </c>
      <c r="H57">
        <v>57278</v>
      </c>
      <c r="I57" t="str">
        <f t="shared" si="1"/>
        <v>View</v>
      </c>
      <c r="J57" t="s">
        <v>20</v>
      </c>
      <c r="K57" t="s">
        <v>26</v>
      </c>
      <c r="L57">
        <v>57278</v>
      </c>
      <c r="M57">
        <v>27.06</v>
      </c>
      <c r="N57">
        <v>95.96</v>
      </c>
      <c r="P57">
        <v>1</v>
      </c>
      <c r="R57" t="s">
        <v>27</v>
      </c>
      <c r="S57" t="s">
        <v>28</v>
      </c>
    </row>
    <row r="58" spans="1:19" x14ac:dyDescent="0.25">
      <c r="A58">
        <v>57</v>
      </c>
      <c r="B58" t="str">
        <f>HYPERLINK("https://imapinvasives.natureserve.org/imap/services/page/Presence/1435288.html", "View")</f>
        <v>View</v>
      </c>
      <c r="C58">
        <v>1435288</v>
      </c>
      <c r="D58">
        <v>1448989</v>
      </c>
      <c r="E58" t="str">
        <f>HYPERLINK("http://imap3images.s3-website-us-east-1.amazonaws.com/1448989/p/imap_app_photo_1721408565434.jpg", "View")</f>
        <v>View</v>
      </c>
      <c r="F58" t="s">
        <v>20</v>
      </c>
      <c r="G58" t="s">
        <v>21</v>
      </c>
      <c r="H58">
        <v>57278</v>
      </c>
      <c r="I58" t="str">
        <f>HYPERLINK("https://www.inaturalist.org/taxa/53582-Liriodendron-tulipifera", "View")</f>
        <v>View</v>
      </c>
      <c r="J58" t="s">
        <v>57</v>
      </c>
      <c r="K58" t="s">
        <v>58</v>
      </c>
      <c r="L58">
        <v>53582</v>
      </c>
      <c r="M58">
        <v>24.4</v>
      </c>
      <c r="N58">
        <v>11.55</v>
      </c>
      <c r="P58">
        <v>0</v>
      </c>
      <c r="R58" t="s">
        <v>31</v>
      </c>
      <c r="S58" t="s">
        <v>28</v>
      </c>
    </row>
    <row r="59" spans="1:19" x14ac:dyDescent="0.25">
      <c r="A59">
        <v>58</v>
      </c>
      <c r="B59" t="str">
        <f>HYPERLINK("https://imapinvasives.natureserve.org/imap/services/page/Presence/1436572.html", "View")</f>
        <v>View</v>
      </c>
      <c r="C59">
        <v>1436572</v>
      </c>
      <c r="D59">
        <v>1450595</v>
      </c>
      <c r="E59" t="str">
        <f>HYPERLINK("http://imap3images.s3-website-us-east-1.amazonaws.com/1450595/p/imap_app_photo_1721857119865.jpg", "View")</f>
        <v>View</v>
      </c>
      <c r="F59" t="s">
        <v>20</v>
      </c>
      <c r="G59" t="s">
        <v>21</v>
      </c>
      <c r="H59">
        <v>57278</v>
      </c>
      <c r="I59" t="str">
        <f t="shared" ref="I59:I69" si="2">HYPERLINK("https://www.inaturalist.org/taxa/57278-Ailanthus-altissima", "View")</f>
        <v>View</v>
      </c>
      <c r="J59" t="s">
        <v>20</v>
      </c>
      <c r="K59" t="s">
        <v>26</v>
      </c>
      <c r="L59">
        <v>57278</v>
      </c>
      <c r="M59">
        <v>18.649999999999999</v>
      </c>
      <c r="N59">
        <v>93.53</v>
      </c>
      <c r="P59">
        <v>1</v>
      </c>
      <c r="R59" t="s">
        <v>27</v>
      </c>
      <c r="S59" t="s">
        <v>28</v>
      </c>
    </row>
    <row r="60" spans="1:19" x14ac:dyDescent="0.25">
      <c r="A60">
        <v>59</v>
      </c>
      <c r="B60" t="str">
        <f>HYPERLINK("https://imapinvasives.natureserve.org/imap/services/page/Presence/1020241.html", "View")</f>
        <v>View</v>
      </c>
      <c r="C60">
        <v>1020241</v>
      </c>
      <c r="D60">
        <v>1020770</v>
      </c>
      <c r="E60" t="str">
        <f>HYPERLINK("http://imap3images.s3-website-us-east-1.amazonaws.com/1020770/p/imap_app_photo_1562858022384.jpg", "View")</f>
        <v>View</v>
      </c>
      <c r="F60" t="s">
        <v>20</v>
      </c>
      <c r="G60" t="s">
        <v>21</v>
      </c>
      <c r="H60">
        <v>57278</v>
      </c>
      <c r="I60" t="str">
        <f t="shared" si="2"/>
        <v>View</v>
      </c>
      <c r="J60" t="s">
        <v>20</v>
      </c>
      <c r="K60" t="s">
        <v>26</v>
      </c>
      <c r="L60">
        <v>57278</v>
      </c>
      <c r="M60">
        <v>56.26</v>
      </c>
      <c r="N60">
        <v>71.98</v>
      </c>
      <c r="P60">
        <v>1</v>
      </c>
      <c r="R60" t="s">
        <v>27</v>
      </c>
      <c r="S60" t="s">
        <v>28</v>
      </c>
    </row>
    <row r="61" spans="1:19" x14ac:dyDescent="0.25">
      <c r="A61">
        <v>60</v>
      </c>
      <c r="B61" t="str">
        <f>HYPERLINK("https://imapinvasives.natureserve.org/imap/services/page/Presence/1334348.html", "View")</f>
        <v>View</v>
      </c>
      <c r="C61">
        <v>1334348</v>
      </c>
      <c r="D61">
        <v>1348467</v>
      </c>
      <c r="E61" t="str">
        <f>HYPERLINK("http://imap3images.s3-website-us-east-1.amazonaws.com/1348467/p/imap_app_photo_1686071271059.jpg", "View")</f>
        <v>View</v>
      </c>
      <c r="F61" t="s">
        <v>20</v>
      </c>
      <c r="G61" t="s">
        <v>21</v>
      </c>
      <c r="H61">
        <v>57278</v>
      </c>
      <c r="I61" t="str">
        <f t="shared" si="2"/>
        <v>View</v>
      </c>
      <c r="J61" t="s">
        <v>20</v>
      </c>
      <c r="K61" t="s">
        <v>26</v>
      </c>
      <c r="L61">
        <v>57278</v>
      </c>
      <c r="M61">
        <v>27.06</v>
      </c>
      <c r="N61">
        <v>99.05</v>
      </c>
      <c r="P61">
        <v>1</v>
      </c>
      <c r="R61" t="s">
        <v>27</v>
      </c>
      <c r="S61" t="s">
        <v>28</v>
      </c>
    </row>
    <row r="62" spans="1:19" x14ac:dyDescent="0.25">
      <c r="A62">
        <v>61</v>
      </c>
      <c r="B62" t="str">
        <f>HYPERLINK("https://imapinvasives.natureserve.org/imap/services/page/Presence/1437977.html", "View")</f>
        <v>View</v>
      </c>
      <c r="C62">
        <v>1437977</v>
      </c>
      <c r="D62">
        <v>1452219</v>
      </c>
      <c r="E62" t="str">
        <f>HYPERLINK("http://imap3images.s3-website-us-east-1.amazonaws.com/1452219/p/imap_app_photo_1722278173736.jpg", "View")</f>
        <v>View</v>
      </c>
      <c r="F62" t="s">
        <v>20</v>
      </c>
      <c r="G62" t="s">
        <v>21</v>
      </c>
      <c r="H62">
        <v>57278</v>
      </c>
      <c r="I62" t="str">
        <f t="shared" si="2"/>
        <v>View</v>
      </c>
      <c r="J62" t="s">
        <v>20</v>
      </c>
      <c r="K62" t="s">
        <v>26</v>
      </c>
      <c r="L62">
        <v>57278</v>
      </c>
      <c r="M62">
        <v>27.06</v>
      </c>
      <c r="N62">
        <v>98.62</v>
      </c>
      <c r="P62">
        <v>1</v>
      </c>
      <c r="R62" t="s">
        <v>27</v>
      </c>
      <c r="S62" t="s">
        <v>28</v>
      </c>
    </row>
    <row r="63" spans="1:19" x14ac:dyDescent="0.25">
      <c r="A63">
        <v>62</v>
      </c>
      <c r="B63" t="str">
        <f>HYPERLINK("https://imapinvasives.natureserve.org/imap/services/page/Presence/1438674.html", "View")</f>
        <v>View</v>
      </c>
      <c r="C63">
        <v>1438674</v>
      </c>
      <c r="D63">
        <v>1452942</v>
      </c>
      <c r="E63" t="str">
        <f>HYPERLINK("http://imap3images.s3-website-us-east-1.amazonaws.com/1452942/p/imap_app_photo_1722695603538.jpg", "View")</f>
        <v>View</v>
      </c>
      <c r="F63" t="s">
        <v>20</v>
      </c>
      <c r="G63" t="s">
        <v>21</v>
      </c>
      <c r="H63">
        <v>57278</v>
      </c>
      <c r="I63" t="str">
        <f t="shared" si="2"/>
        <v>View</v>
      </c>
      <c r="J63" t="s">
        <v>20</v>
      </c>
      <c r="K63" t="s">
        <v>26</v>
      </c>
      <c r="L63">
        <v>57278</v>
      </c>
      <c r="M63">
        <v>36</v>
      </c>
      <c r="N63">
        <v>90.36</v>
      </c>
      <c r="P63">
        <v>1</v>
      </c>
      <c r="R63" t="s">
        <v>27</v>
      </c>
      <c r="S63" t="s">
        <v>28</v>
      </c>
    </row>
    <row r="64" spans="1:19" x14ac:dyDescent="0.25">
      <c r="A64">
        <v>63</v>
      </c>
      <c r="B64" t="str">
        <f>HYPERLINK("https://imapinvasives.natureserve.org/imap/services/page/Presence/531466.html", "View")</f>
        <v>View</v>
      </c>
      <c r="C64">
        <v>531466</v>
      </c>
      <c r="D64">
        <v>531466</v>
      </c>
      <c r="E64" t="str">
        <f>HYPERLINK("http://imap3images.s3-website-us-east-1.amazonaws.com/531466/p/photourl1_2018_09_24_mertaylor_jynj56l7.jpg", "View")</f>
        <v>View</v>
      </c>
      <c r="F64" t="s">
        <v>20</v>
      </c>
      <c r="G64" t="s">
        <v>21</v>
      </c>
      <c r="H64">
        <v>57278</v>
      </c>
      <c r="I64" t="str">
        <f t="shared" si="2"/>
        <v>View</v>
      </c>
      <c r="J64" t="s">
        <v>20</v>
      </c>
      <c r="K64" t="s">
        <v>26</v>
      </c>
      <c r="L64">
        <v>57278</v>
      </c>
      <c r="M64">
        <v>64.84</v>
      </c>
      <c r="N64">
        <v>90.76</v>
      </c>
      <c r="P64">
        <v>1</v>
      </c>
      <c r="R64" t="s">
        <v>27</v>
      </c>
      <c r="S64" t="s">
        <v>28</v>
      </c>
    </row>
    <row r="65" spans="1:19" x14ac:dyDescent="0.25">
      <c r="A65">
        <v>64</v>
      </c>
      <c r="B65" t="str">
        <f>HYPERLINK("https://imapinvasives.natureserve.org/imap/services/page/Presence/1052259.html", "View")</f>
        <v>View</v>
      </c>
      <c r="C65">
        <v>1052259</v>
      </c>
      <c r="D65">
        <v>1056468</v>
      </c>
      <c r="E65" t="str">
        <f>HYPERLINK("http://imap3images.s3-website-us-east-1.amazonaws.com/1056468/p/imap_app_photo_1593274700559.jpg", "View")</f>
        <v>View</v>
      </c>
      <c r="F65" t="s">
        <v>20</v>
      </c>
      <c r="G65" t="s">
        <v>21</v>
      </c>
      <c r="H65">
        <v>57278</v>
      </c>
      <c r="I65" t="str">
        <f t="shared" si="2"/>
        <v>View</v>
      </c>
      <c r="J65" t="s">
        <v>20</v>
      </c>
      <c r="K65" t="s">
        <v>26</v>
      </c>
      <c r="L65">
        <v>57278</v>
      </c>
      <c r="M65">
        <v>82.1</v>
      </c>
      <c r="N65">
        <v>61.69</v>
      </c>
      <c r="P65">
        <v>1</v>
      </c>
      <c r="R65" t="s">
        <v>27</v>
      </c>
      <c r="S65" t="s">
        <v>28</v>
      </c>
    </row>
    <row r="66" spans="1:19" x14ac:dyDescent="0.25">
      <c r="A66">
        <v>65</v>
      </c>
      <c r="B66" t="str">
        <f>HYPERLINK("https://imapinvasives.natureserve.org/imap/services/page/Presence/1019286.html", "View")</f>
        <v>View</v>
      </c>
      <c r="C66">
        <v>1019286</v>
      </c>
      <c r="D66">
        <v>1019807</v>
      </c>
      <c r="E66" t="str">
        <f>HYPERLINK("http://imap3images.s3-website-us-east-1.amazonaws.com/1019807/p/imap_app_photo_1562432422347.jpg", "View")</f>
        <v>View</v>
      </c>
      <c r="F66" t="s">
        <v>20</v>
      </c>
      <c r="G66" t="s">
        <v>21</v>
      </c>
      <c r="H66">
        <v>57278</v>
      </c>
      <c r="I66" t="str">
        <f t="shared" si="2"/>
        <v>View</v>
      </c>
      <c r="J66" t="s">
        <v>20</v>
      </c>
      <c r="K66" t="s">
        <v>26</v>
      </c>
      <c r="L66">
        <v>57278</v>
      </c>
      <c r="M66">
        <v>18.649999999999999</v>
      </c>
      <c r="N66">
        <v>99.44</v>
      </c>
      <c r="P66">
        <v>1</v>
      </c>
      <c r="R66" t="s">
        <v>27</v>
      </c>
      <c r="S66" t="s">
        <v>28</v>
      </c>
    </row>
    <row r="67" spans="1:19" x14ac:dyDescent="0.25">
      <c r="A67">
        <v>66</v>
      </c>
      <c r="B67" t="str">
        <f>HYPERLINK("https://imapinvasives.natureserve.org/imap/services/page/Presence/1158457.html", "View")</f>
        <v>View</v>
      </c>
      <c r="C67">
        <v>1158457</v>
      </c>
      <c r="D67">
        <v>1165528</v>
      </c>
      <c r="E67" t="str">
        <f>HYPERLINK("http://imap3images.s3-website-us-east-1.amazonaws.com/1165528/p/imap_app_photo_1629126518009.jpg", "View")</f>
        <v>View</v>
      </c>
      <c r="F67" t="s">
        <v>20</v>
      </c>
      <c r="G67" t="s">
        <v>21</v>
      </c>
      <c r="H67">
        <v>57278</v>
      </c>
      <c r="I67" t="str">
        <f t="shared" si="2"/>
        <v>View</v>
      </c>
      <c r="J67" t="s">
        <v>20</v>
      </c>
      <c r="K67" t="s">
        <v>26</v>
      </c>
      <c r="L67">
        <v>57278</v>
      </c>
      <c r="M67">
        <v>10.53</v>
      </c>
      <c r="N67">
        <v>97.24</v>
      </c>
      <c r="P67">
        <v>1</v>
      </c>
      <c r="R67" t="s">
        <v>27</v>
      </c>
      <c r="S67" t="s">
        <v>28</v>
      </c>
    </row>
    <row r="68" spans="1:19" x14ac:dyDescent="0.25">
      <c r="A68">
        <v>67</v>
      </c>
      <c r="B68" t="str">
        <f>HYPERLINK("https://imapinvasives.natureserve.org/imap/services/page/Presence/513349.html", "View")</f>
        <v>View</v>
      </c>
      <c r="C68">
        <v>513349</v>
      </c>
      <c r="D68">
        <v>513349</v>
      </c>
      <c r="E68" t="str">
        <f>HYPERLINK("http://imap3images.s3-website-us-east-1.amazonaws.com/513349/p/photourl1_2017_07_25_lindombroskie_ux8sl8ei.jpg", "View")</f>
        <v>View</v>
      </c>
      <c r="F68" t="s">
        <v>20</v>
      </c>
      <c r="G68" t="s">
        <v>21</v>
      </c>
      <c r="H68">
        <v>57278</v>
      </c>
      <c r="I68" t="str">
        <f t="shared" si="2"/>
        <v>View</v>
      </c>
      <c r="J68" t="s">
        <v>20</v>
      </c>
      <c r="K68" t="s">
        <v>26</v>
      </c>
      <c r="L68">
        <v>57278</v>
      </c>
      <c r="M68">
        <v>5.49</v>
      </c>
      <c r="N68">
        <v>94.01</v>
      </c>
      <c r="P68">
        <v>1</v>
      </c>
      <c r="R68" t="s">
        <v>27</v>
      </c>
      <c r="S68" t="s">
        <v>28</v>
      </c>
    </row>
    <row r="69" spans="1:19" x14ac:dyDescent="0.25">
      <c r="A69">
        <v>68</v>
      </c>
      <c r="B69" t="str">
        <f>HYPERLINK("https://imapinvasives.natureserve.org/imap/services/page/Presence/1056422.html", "View")</f>
        <v>View</v>
      </c>
      <c r="C69">
        <v>1056422</v>
      </c>
      <c r="D69">
        <v>1060877</v>
      </c>
      <c r="E69" t="str">
        <f>HYPERLINK("http://imap3images.s3-website-us-east-1.amazonaws.com/1060877/p/imap_app_photo_1594902707445.jpg", "View")</f>
        <v>View</v>
      </c>
      <c r="F69" t="s">
        <v>20</v>
      </c>
      <c r="G69" t="s">
        <v>21</v>
      </c>
      <c r="H69">
        <v>57278</v>
      </c>
      <c r="I69" t="str">
        <f t="shared" si="2"/>
        <v>View</v>
      </c>
      <c r="J69" t="s">
        <v>20</v>
      </c>
      <c r="K69" t="s">
        <v>26</v>
      </c>
      <c r="L69">
        <v>57278</v>
      </c>
      <c r="M69">
        <v>64.84</v>
      </c>
      <c r="N69">
        <v>97.35</v>
      </c>
      <c r="P69">
        <v>1</v>
      </c>
      <c r="R69" t="s">
        <v>27</v>
      </c>
      <c r="S69" t="s">
        <v>28</v>
      </c>
    </row>
    <row r="70" spans="1:19" x14ac:dyDescent="0.25">
      <c r="A70">
        <v>69</v>
      </c>
      <c r="B70" t="str">
        <f>HYPERLINK("https://imapinvasives.natureserve.org/imap/services/page/Presence/1038106.html", "View")</f>
        <v>View</v>
      </c>
      <c r="C70">
        <v>1038106</v>
      </c>
      <c r="D70">
        <v>1041464</v>
      </c>
      <c r="E70" t="str">
        <f>HYPERLINK("http://imap3images.s3-website-us-east-1.amazonaws.com/1041464/p/attachment2.jpg", "View")</f>
        <v>View</v>
      </c>
      <c r="F70" t="s">
        <v>20</v>
      </c>
      <c r="G70" t="s">
        <v>21</v>
      </c>
      <c r="H70">
        <v>57278</v>
      </c>
      <c r="I70" t="str">
        <f>HYPERLINK("https://www.inaturalist.org/taxa/160169-Caryota-mitis", "View")</f>
        <v>View</v>
      </c>
      <c r="J70" t="s">
        <v>59</v>
      </c>
      <c r="K70" t="s">
        <v>60</v>
      </c>
      <c r="L70">
        <v>160169</v>
      </c>
      <c r="M70">
        <v>0</v>
      </c>
      <c r="N70">
        <v>7.19</v>
      </c>
      <c r="P70">
        <v>0</v>
      </c>
      <c r="R70" t="s">
        <v>31</v>
      </c>
      <c r="S70" t="s">
        <v>61</v>
      </c>
    </row>
    <row r="71" spans="1:19" x14ac:dyDescent="0.25">
      <c r="A71">
        <v>70</v>
      </c>
      <c r="B71" t="str">
        <f>HYPERLINK("https://imapinvasives.natureserve.org/imap/services/page/Presence/1056423.html", "View")</f>
        <v>View</v>
      </c>
      <c r="C71">
        <v>1056423</v>
      </c>
      <c r="D71">
        <v>1060878</v>
      </c>
      <c r="E71" t="str">
        <f>HYPERLINK("http://imap3images.s3-website-us-east-1.amazonaws.com/1060878/p/imap_app_photo_1594902712647.jpg", "View")</f>
        <v>View</v>
      </c>
      <c r="F71" t="s">
        <v>20</v>
      </c>
      <c r="G71" t="s">
        <v>21</v>
      </c>
      <c r="H71">
        <v>57278</v>
      </c>
      <c r="I71" t="str">
        <f>HYPERLINK("https://www.inaturalist.org/taxa/57278-Ailanthus-altissima", "View")</f>
        <v>View</v>
      </c>
      <c r="J71" t="s">
        <v>20</v>
      </c>
      <c r="K71" t="s">
        <v>26</v>
      </c>
      <c r="L71">
        <v>57278</v>
      </c>
      <c r="M71">
        <v>41.73</v>
      </c>
      <c r="N71">
        <v>96.96</v>
      </c>
      <c r="P71">
        <v>1</v>
      </c>
      <c r="R71" t="s">
        <v>27</v>
      </c>
      <c r="S71" t="s">
        <v>28</v>
      </c>
    </row>
    <row r="72" spans="1:19" x14ac:dyDescent="0.25">
      <c r="A72">
        <v>71</v>
      </c>
      <c r="B72" t="str">
        <f>HYPERLINK("https://imapinvasives.natureserve.org/imap/services/page/Presence/1442233.html", "View")</f>
        <v>View</v>
      </c>
      <c r="C72">
        <v>1442233</v>
      </c>
      <c r="D72">
        <v>1456767</v>
      </c>
      <c r="E72" t="str">
        <f>HYPERLINK("http://imap3images.s3-website-us-east-1.amazonaws.com/1456767/p/imap_app_photo_1724451632432.jpg", "View")</f>
        <v>View</v>
      </c>
      <c r="F72" t="s">
        <v>20</v>
      </c>
      <c r="G72" t="s">
        <v>21</v>
      </c>
      <c r="H72">
        <v>57278</v>
      </c>
      <c r="I72" t="str">
        <f>HYPERLINK("https://www.inaturalist.org/taxa/57278-Ailanthus-altissima", "View")</f>
        <v>View</v>
      </c>
      <c r="J72" t="s">
        <v>20</v>
      </c>
      <c r="K72" t="s">
        <v>26</v>
      </c>
      <c r="L72">
        <v>57278</v>
      </c>
      <c r="M72">
        <v>35.049999999999997</v>
      </c>
      <c r="N72">
        <v>99.84</v>
      </c>
      <c r="P72">
        <v>1</v>
      </c>
      <c r="R72" t="s">
        <v>27</v>
      </c>
      <c r="S72" t="s">
        <v>28</v>
      </c>
    </row>
    <row r="73" spans="1:19" x14ac:dyDescent="0.25">
      <c r="A73">
        <v>72</v>
      </c>
      <c r="B73" t="str">
        <f>HYPERLINK("https://imapinvasives.natureserve.org/imap/services/page/Presence/433449.html", "View")</f>
        <v>View</v>
      </c>
      <c r="C73">
        <v>433449</v>
      </c>
      <c r="D73">
        <v>433449</v>
      </c>
      <c r="E73" t="str">
        <f>HYPERLINK("http://imap3images.s3-website-us-east-1.amazonaws.com/433449/p/photourl1_2015_03_22_harfrantz_zimwvy05.jpg", "View")</f>
        <v>View</v>
      </c>
      <c r="F73" t="s">
        <v>20</v>
      </c>
      <c r="G73" t="s">
        <v>21</v>
      </c>
      <c r="H73">
        <v>57278</v>
      </c>
      <c r="I73" t="str">
        <f>HYPERLINK("https://www.inaturalist.org/taxa/57278-Ailanthus-altissima", "View")</f>
        <v>View</v>
      </c>
      <c r="J73" t="s">
        <v>20</v>
      </c>
      <c r="K73" t="s">
        <v>26</v>
      </c>
      <c r="L73">
        <v>57278</v>
      </c>
      <c r="M73">
        <v>24.01</v>
      </c>
      <c r="N73">
        <v>34.04</v>
      </c>
      <c r="P73">
        <v>1</v>
      </c>
      <c r="R73" t="s">
        <v>27</v>
      </c>
      <c r="S73" t="s">
        <v>28</v>
      </c>
    </row>
    <row r="74" spans="1:19" x14ac:dyDescent="0.25">
      <c r="A74">
        <v>73</v>
      </c>
      <c r="B74" t="str">
        <f>HYPERLINK("https://imapinvasives.natureserve.org/imap/services/page/Presence/1168089.html", "View")</f>
        <v>View</v>
      </c>
      <c r="C74">
        <v>1168089</v>
      </c>
      <c r="D74">
        <v>1175614</v>
      </c>
      <c r="E74" t="str">
        <f>HYPERLINK("http://imap3images.s3-website-us-east-1.amazonaws.com/1175614/p/imap_app_photo_1633811412288.jpg", "View")</f>
        <v>View</v>
      </c>
      <c r="F74" t="s">
        <v>20</v>
      </c>
      <c r="G74" t="s">
        <v>21</v>
      </c>
      <c r="H74">
        <v>57278</v>
      </c>
      <c r="I74" t="str">
        <f>HYPERLINK("https://www.inaturalist.org/taxa/57278-Ailanthus-altissima", "View")</f>
        <v>View</v>
      </c>
      <c r="J74" t="s">
        <v>20</v>
      </c>
      <c r="K74" t="s">
        <v>26</v>
      </c>
      <c r="L74">
        <v>57278</v>
      </c>
      <c r="M74">
        <v>29.37</v>
      </c>
      <c r="N74">
        <v>65.72</v>
      </c>
      <c r="P74">
        <v>1</v>
      </c>
      <c r="R74" t="s">
        <v>27</v>
      </c>
      <c r="S74" t="s">
        <v>28</v>
      </c>
    </row>
    <row r="75" spans="1:19" x14ac:dyDescent="0.25">
      <c r="A75">
        <v>74</v>
      </c>
      <c r="B75" t="str">
        <f>HYPERLINK("https://imapinvasives.natureserve.org/imap/services/page/Presence/1284656.html", "View")</f>
        <v>View</v>
      </c>
      <c r="C75">
        <v>1284656</v>
      </c>
      <c r="D75">
        <v>1294236</v>
      </c>
      <c r="E75" t="str">
        <f>HYPERLINK("http://imap3images.s3-website-us-east-1.amazonaws.com/1294236/p/imap_app_photo_1659319560405.jpg", "View")</f>
        <v>View</v>
      </c>
      <c r="F75" t="s">
        <v>20</v>
      </c>
      <c r="G75" t="s">
        <v>21</v>
      </c>
      <c r="H75">
        <v>57278</v>
      </c>
      <c r="I75" t="str">
        <f>HYPERLINK("https://www.inaturalist.org/taxa/167829-Rhus-typhina", "View")</f>
        <v>View</v>
      </c>
      <c r="J75" t="s">
        <v>51</v>
      </c>
      <c r="K75" t="s">
        <v>52</v>
      </c>
      <c r="L75">
        <v>167829</v>
      </c>
      <c r="M75">
        <v>36.369999999999997</v>
      </c>
      <c r="N75">
        <v>70.209999999999994</v>
      </c>
      <c r="P75">
        <v>0</v>
      </c>
      <c r="R75" t="s">
        <v>31</v>
      </c>
      <c r="S75" t="s">
        <v>28</v>
      </c>
    </row>
    <row r="76" spans="1:19" x14ac:dyDescent="0.25">
      <c r="A76">
        <v>75</v>
      </c>
      <c r="B76" t="str">
        <f>HYPERLINK("https://imapinvasives.natureserve.org/imap/services/page/Presence/1150353.html", "View")</f>
        <v>View</v>
      </c>
      <c r="C76">
        <v>1150353</v>
      </c>
      <c r="D76">
        <v>1157209</v>
      </c>
      <c r="E76" t="str">
        <f>HYPERLINK("http://imap3images.s3-website-us-east-1.amazonaws.com/1157209/p/imap_app_photo_1626094597874.jpg", "View")</f>
        <v>View</v>
      </c>
      <c r="F76" t="s">
        <v>20</v>
      </c>
      <c r="G76" t="s">
        <v>21</v>
      </c>
      <c r="H76">
        <v>57278</v>
      </c>
      <c r="I76" t="str">
        <f>HYPERLINK("https://www.inaturalist.org/taxa/57278-Ailanthus-altissima", "View")</f>
        <v>View</v>
      </c>
      <c r="J76" t="s">
        <v>20</v>
      </c>
      <c r="K76" t="s">
        <v>26</v>
      </c>
      <c r="L76">
        <v>57278</v>
      </c>
      <c r="M76">
        <v>64.84</v>
      </c>
      <c r="N76">
        <v>60.09</v>
      </c>
      <c r="P76">
        <v>1</v>
      </c>
      <c r="R76" t="s">
        <v>27</v>
      </c>
      <c r="S76" t="s">
        <v>28</v>
      </c>
    </row>
    <row r="77" spans="1:19" x14ac:dyDescent="0.25">
      <c r="A77">
        <v>76</v>
      </c>
      <c r="B77" t="str">
        <f>HYPERLINK("https://imapinvasives.natureserve.org/imap/services/page/Presence/1023506.html", "View")</f>
        <v>View</v>
      </c>
      <c r="C77">
        <v>1023506</v>
      </c>
      <c r="D77">
        <v>1024093</v>
      </c>
      <c r="E77" t="str">
        <f>HYPERLINK("http://imap3images.s3-website-us-east-1.amazonaws.com/1024093/p/imap_app_photo_1564239003127.jpg", "View")</f>
        <v>View</v>
      </c>
      <c r="F77" t="s">
        <v>20</v>
      </c>
      <c r="G77" t="s">
        <v>21</v>
      </c>
      <c r="H77">
        <v>57278</v>
      </c>
      <c r="I77" t="str">
        <f>HYPERLINK("https://www.inaturalist.org/taxa/57278-Ailanthus-altissima", "View")</f>
        <v>View</v>
      </c>
      <c r="J77" t="s">
        <v>20</v>
      </c>
      <c r="K77" t="s">
        <v>26</v>
      </c>
      <c r="L77">
        <v>57278</v>
      </c>
      <c r="M77">
        <v>41.73</v>
      </c>
      <c r="N77">
        <v>96.67</v>
      </c>
      <c r="P77">
        <v>1</v>
      </c>
      <c r="R77" t="s">
        <v>27</v>
      </c>
      <c r="S77" t="s">
        <v>28</v>
      </c>
    </row>
    <row r="78" spans="1:19" x14ac:dyDescent="0.25">
      <c r="A78">
        <v>77</v>
      </c>
      <c r="B78" t="str">
        <f>HYPERLINK("https://imapinvasives.natureserve.org/imap/services/page/Presence/1152500.html", "View")</f>
        <v>View</v>
      </c>
      <c r="C78">
        <v>1152500</v>
      </c>
      <c r="D78">
        <v>1159445</v>
      </c>
      <c r="E78" t="str">
        <f>HYPERLINK("http://imap3images.s3-website-us-east-1.amazonaws.com/1159445/p/imap_app_photo_1627092493571.jpg", "View")</f>
        <v>View</v>
      </c>
      <c r="F78" t="s">
        <v>20</v>
      </c>
      <c r="G78" t="s">
        <v>21</v>
      </c>
      <c r="H78">
        <v>57278</v>
      </c>
      <c r="I78" t="str">
        <f>HYPERLINK("https://www.inaturalist.org/taxa/57278-Ailanthus-altissima", "View")</f>
        <v>View</v>
      </c>
      <c r="J78" t="s">
        <v>20</v>
      </c>
      <c r="K78" t="s">
        <v>26</v>
      </c>
      <c r="L78">
        <v>57278</v>
      </c>
      <c r="M78">
        <v>36</v>
      </c>
      <c r="N78">
        <v>99.89</v>
      </c>
      <c r="P78">
        <v>1</v>
      </c>
      <c r="R78" t="s">
        <v>27</v>
      </c>
      <c r="S78" t="s">
        <v>28</v>
      </c>
    </row>
    <row r="79" spans="1:19" x14ac:dyDescent="0.25">
      <c r="A79">
        <v>78</v>
      </c>
      <c r="B79" s="2" t="str">
        <f>HYPERLINK("https://imapinvasives.natureserve.org/imap/services/page/Presence/1443671.html", "View")</f>
        <v>View</v>
      </c>
      <c r="C79">
        <v>1443671</v>
      </c>
      <c r="D79">
        <v>1458321</v>
      </c>
      <c r="E79" t="str">
        <f>HYPERLINK("http://imap3images.s3-website-us-east-1.amazonaws.com/1458321/p/Cemetery.jpg", "View")</f>
        <v>View</v>
      </c>
      <c r="F79" t="s">
        <v>20</v>
      </c>
      <c r="G79" t="s">
        <v>21</v>
      </c>
      <c r="H79">
        <v>57278</v>
      </c>
      <c r="I79" t="str">
        <f>HYPERLINK("https://www.inaturalist.org/taxa/57278-Ailanthus-altissima", "View")</f>
        <v>View</v>
      </c>
      <c r="J79" t="s">
        <v>20</v>
      </c>
      <c r="K79" t="s">
        <v>26</v>
      </c>
      <c r="L79">
        <v>57278</v>
      </c>
      <c r="M79">
        <v>82.1</v>
      </c>
      <c r="N79">
        <v>87.09</v>
      </c>
      <c r="P79">
        <v>1</v>
      </c>
      <c r="R79" t="s">
        <v>27</v>
      </c>
      <c r="S79" t="s">
        <v>28</v>
      </c>
    </row>
    <row r="80" spans="1:19" x14ac:dyDescent="0.25">
      <c r="A80">
        <v>79</v>
      </c>
      <c r="B80" t="str">
        <f>HYPERLINK("https://imapinvasives.natureserve.org/imap/services/page/Presence/1018582.html", "View")</f>
        <v>View</v>
      </c>
      <c r="C80">
        <v>1018582</v>
      </c>
      <c r="D80">
        <v>1019101</v>
      </c>
      <c r="E80" t="str">
        <f>HYPERLINK("http://imap3images.s3-website-us-east-1.amazonaws.com/1019101/p/hostPhoto-20181025-180115.jpg", "View")</f>
        <v>View</v>
      </c>
      <c r="F80" t="s">
        <v>20</v>
      </c>
      <c r="G80" t="s">
        <v>21</v>
      </c>
      <c r="H80">
        <v>57278</v>
      </c>
      <c r="I80" t="str">
        <f>HYPERLINK("https://www.inaturalist.org/taxa/57278-Ailanthus-altissima", "View")</f>
        <v>View</v>
      </c>
      <c r="J80" t="s">
        <v>20</v>
      </c>
      <c r="K80" t="s">
        <v>26</v>
      </c>
      <c r="L80">
        <v>57278</v>
      </c>
      <c r="M80">
        <v>14.62</v>
      </c>
      <c r="N80">
        <v>99.4</v>
      </c>
      <c r="P80">
        <v>1</v>
      </c>
      <c r="R80" t="s">
        <v>27</v>
      </c>
      <c r="S80" t="s">
        <v>25</v>
      </c>
    </row>
    <row r="81" spans="1:19" x14ac:dyDescent="0.25">
      <c r="A81">
        <v>80</v>
      </c>
      <c r="B81" t="str">
        <f>HYPERLINK("https://imapinvasives.natureserve.org/imap/services/page/Presence/1284657.html", "View")</f>
        <v>View</v>
      </c>
      <c r="C81">
        <v>1284657</v>
      </c>
      <c r="D81">
        <v>1294237</v>
      </c>
      <c r="E81" t="str">
        <f>HYPERLINK("http://imap3images.s3-website-us-east-1.amazonaws.com/1294237/p/imap_app_photo_1659319604554.jpg", "View")</f>
        <v>View</v>
      </c>
      <c r="F81" t="s">
        <v>20</v>
      </c>
      <c r="G81" t="s">
        <v>21</v>
      </c>
      <c r="H81">
        <v>57278</v>
      </c>
      <c r="I81" t="str">
        <f>HYPERLINK("https://www.inaturalist.org/taxa/54857-Celtis-occidentalis", "View")</f>
        <v>View</v>
      </c>
      <c r="J81" t="s">
        <v>62</v>
      </c>
      <c r="K81" t="s">
        <v>63</v>
      </c>
      <c r="L81">
        <v>54857</v>
      </c>
      <c r="M81">
        <v>2.35</v>
      </c>
      <c r="N81">
        <v>10.63</v>
      </c>
      <c r="P81">
        <v>0</v>
      </c>
      <c r="R81" t="s">
        <v>31</v>
      </c>
      <c r="S81" t="s">
        <v>28</v>
      </c>
    </row>
    <row r="82" spans="1:19" x14ac:dyDescent="0.25">
      <c r="A82">
        <v>81</v>
      </c>
      <c r="B82" t="str">
        <f>HYPERLINK("https://imapinvasives.natureserve.org/imap/services/page/Presence/1304297.html", "View")</f>
        <v>View</v>
      </c>
      <c r="C82">
        <v>1304297</v>
      </c>
      <c r="D82">
        <v>1314719</v>
      </c>
      <c r="E82" t="str">
        <f>HYPERLINK("http://imap3images.s3-website-us-east-1.amazonaws.com/1314719/p/Photo_1.jpg", "View")</f>
        <v>View</v>
      </c>
      <c r="F82" t="s">
        <v>20</v>
      </c>
      <c r="G82" t="s">
        <v>21</v>
      </c>
      <c r="H82">
        <v>57278</v>
      </c>
      <c r="I82" t="str">
        <f>HYPERLINK("https://www.inaturalist.org/taxa/116710-Microstegium-vimineum", "View")</f>
        <v>View</v>
      </c>
      <c r="J82" t="s">
        <v>64</v>
      </c>
      <c r="K82" t="s">
        <v>65</v>
      </c>
      <c r="L82">
        <v>116710</v>
      </c>
      <c r="M82">
        <v>2.17</v>
      </c>
      <c r="N82">
        <v>13.58</v>
      </c>
      <c r="P82">
        <v>0</v>
      </c>
      <c r="R82" t="s">
        <v>24</v>
      </c>
      <c r="S82" t="s">
        <v>25</v>
      </c>
    </row>
    <row r="83" spans="1:19" x14ac:dyDescent="0.25">
      <c r="A83">
        <v>82</v>
      </c>
      <c r="B83" t="str">
        <f>HYPERLINK("https://imapinvasives.natureserve.org/imap/services/page/Presence/1057021.html", "View")</f>
        <v>View</v>
      </c>
      <c r="C83">
        <v>1057021</v>
      </c>
      <c r="D83">
        <v>1061523</v>
      </c>
      <c r="E83" t="str">
        <f>HYPERLINK("http://imap3images.s3-website-us-east-1.amazonaws.com/1061523/p/imap_app_photo_1595275746315.jpg", "View")</f>
        <v>View</v>
      </c>
      <c r="F83" t="s">
        <v>20</v>
      </c>
      <c r="G83" t="s">
        <v>21</v>
      </c>
      <c r="H83">
        <v>57278</v>
      </c>
      <c r="I83" t="str">
        <f>HYPERLINK("https://www.inaturalist.org/taxa/57278-Ailanthus-altissima", "View")</f>
        <v>View</v>
      </c>
      <c r="J83" t="s">
        <v>20</v>
      </c>
      <c r="K83" t="s">
        <v>26</v>
      </c>
      <c r="L83">
        <v>57278</v>
      </c>
      <c r="M83">
        <v>41.73</v>
      </c>
      <c r="N83">
        <v>99.17</v>
      </c>
      <c r="P83">
        <v>1</v>
      </c>
      <c r="R83" t="s">
        <v>27</v>
      </c>
      <c r="S83" t="s">
        <v>28</v>
      </c>
    </row>
    <row r="84" spans="1:19" x14ac:dyDescent="0.25">
      <c r="A84">
        <v>83</v>
      </c>
      <c r="B84" s="2" t="str">
        <f>HYPERLINK("https://imapinvasives.natureserve.org/imap/services/page/Presence/1330831.html", "View")</f>
        <v>View</v>
      </c>
      <c r="C84">
        <v>1330831</v>
      </c>
      <c r="D84">
        <v>1344307</v>
      </c>
      <c r="E84" t="str">
        <f>HYPERLINK("http://imap3images.s3-website-us-east-1.amazonaws.com/1344307/p/imap_app_photo_1684422359638.jpg", "View")</f>
        <v>View</v>
      </c>
      <c r="F84" t="s">
        <v>20</v>
      </c>
      <c r="G84" t="s">
        <v>21</v>
      </c>
      <c r="H84">
        <v>57278</v>
      </c>
      <c r="I84" t="str">
        <f>HYPERLINK("https://www.inaturalist.org/taxa/57278-Ailanthus-altissima", "View")</f>
        <v>View</v>
      </c>
      <c r="J84" t="s">
        <v>20</v>
      </c>
      <c r="K84" t="s">
        <v>26</v>
      </c>
      <c r="L84">
        <v>57278</v>
      </c>
      <c r="M84">
        <v>6.21</v>
      </c>
      <c r="N84">
        <v>10.11</v>
      </c>
      <c r="P84">
        <v>1</v>
      </c>
      <c r="R84" t="s">
        <v>27</v>
      </c>
      <c r="S84" t="s">
        <v>34</v>
      </c>
    </row>
    <row r="85" spans="1:19" x14ac:dyDescent="0.25">
      <c r="A85">
        <v>84</v>
      </c>
      <c r="B85" t="str">
        <f>HYPERLINK("https://imapinvasives.natureserve.org/imap/services/page/Presence/529861.html", "View")</f>
        <v>View</v>
      </c>
      <c r="C85">
        <v>529861</v>
      </c>
      <c r="D85">
        <v>529861</v>
      </c>
      <c r="E85" t="str">
        <f>HYPERLINK("http://imap3images.s3-website-us-east-1.amazonaws.com/529861/p/photourl1_2018_08_09_falneske_hl51hpgi.jpg", "View")</f>
        <v>View</v>
      </c>
      <c r="F85" t="s">
        <v>20</v>
      </c>
      <c r="G85" t="s">
        <v>21</v>
      </c>
      <c r="H85">
        <v>57278</v>
      </c>
      <c r="I85" t="str">
        <f>HYPERLINK("https://www.inaturalist.org/taxa/119817-Apios-americana", "View")</f>
        <v>View</v>
      </c>
      <c r="J85" t="s">
        <v>66</v>
      </c>
      <c r="K85" t="s">
        <v>67</v>
      </c>
      <c r="L85">
        <v>119817</v>
      </c>
      <c r="M85">
        <v>39.18</v>
      </c>
      <c r="N85">
        <v>3.54</v>
      </c>
      <c r="P85">
        <v>0</v>
      </c>
      <c r="R85" t="s">
        <v>31</v>
      </c>
      <c r="S85" t="s">
        <v>28</v>
      </c>
    </row>
    <row r="86" spans="1:19" x14ac:dyDescent="0.25">
      <c r="A86">
        <v>85</v>
      </c>
      <c r="B86" t="str">
        <f>HYPERLINK("https://imapinvasives.natureserve.org/imap/services/page/Presence/1167689.html", "View")</f>
        <v>View</v>
      </c>
      <c r="C86">
        <v>1167689</v>
      </c>
      <c r="D86">
        <v>1175149</v>
      </c>
      <c r="E86" t="str">
        <f>HYPERLINK("http://imap3images.s3-website-us-east-1.amazonaws.com/1175149/p/IMG_9318.JPG", "View")</f>
        <v>View</v>
      </c>
      <c r="F86" t="s">
        <v>20</v>
      </c>
      <c r="G86" t="s">
        <v>21</v>
      </c>
      <c r="H86">
        <v>57278</v>
      </c>
      <c r="I86" t="str">
        <f>HYPERLINK("https://www.inaturalist.org/taxa/57278-Ailanthus-altissima", "View")</f>
        <v>View</v>
      </c>
      <c r="J86" t="s">
        <v>20</v>
      </c>
      <c r="K86" t="s">
        <v>26</v>
      </c>
      <c r="L86">
        <v>57278</v>
      </c>
      <c r="M86">
        <v>36</v>
      </c>
      <c r="N86">
        <v>42.53</v>
      </c>
      <c r="P86">
        <v>1</v>
      </c>
      <c r="R86" t="s">
        <v>27</v>
      </c>
      <c r="S86" t="s">
        <v>35</v>
      </c>
    </row>
    <row r="87" spans="1:19" x14ac:dyDescent="0.25">
      <c r="A87">
        <v>86</v>
      </c>
      <c r="B87" t="str">
        <f>HYPERLINK("https://imapinvasives.natureserve.org/imap/services/page/Presence/1158453.html", "View")</f>
        <v>View</v>
      </c>
      <c r="C87">
        <v>1158453</v>
      </c>
      <c r="D87">
        <v>1165524</v>
      </c>
      <c r="E87" t="str">
        <f>HYPERLINK("http://imap3images.s3-website-us-east-1.amazonaws.com/1165524/p/ParkOutdoor_8.4.2021_vegetation_5_TOH_leaves.jpg", "View")</f>
        <v>View</v>
      </c>
      <c r="F87" t="s">
        <v>20</v>
      </c>
      <c r="G87" t="s">
        <v>21</v>
      </c>
      <c r="H87">
        <v>57278</v>
      </c>
      <c r="I87" t="str">
        <f>HYPERLINK("https://www.inaturalist.org/taxa/57278-Ailanthus-altissima", "View")</f>
        <v>View</v>
      </c>
      <c r="J87" t="s">
        <v>20</v>
      </c>
      <c r="K87" t="s">
        <v>26</v>
      </c>
      <c r="L87">
        <v>57278</v>
      </c>
      <c r="M87">
        <v>6.16</v>
      </c>
      <c r="N87">
        <v>86.46</v>
      </c>
      <c r="P87">
        <v>1</v>
      </c>
      <c r="R87" t="s">
        <v>27</v>
      </c>
      <c r="S87" t="s">
        <v>28</v>
      </c>
    </row>
    <row r="88" spans="1:19" x14ac:dyDescent="0.25">
      <c r="A88">
        <v>87</v>
      </c>
      <c r="B88" t="str">
        <f>HYPERLINK("https://imapinvasives.natureserve.org/imap/services/page/Presence/1165003.html", "View")</f>
        <v>View</v>
      </c>
      <c r="C88">
        <v>1165003</v>
      </c>
      <c r="D88">
        <v>1172260</v>
      </c>
      <c r="E88" t="str">
        <f>HYPERLINK("http://imap3images.s3-website-us-east-1.amazonaws.com/1172260/p/imap_app_photo_1632701384223.jpg", "View")</f>
        <v>View</v>
      </c>
      <c r="F88" t="s">
        <v>20</v>
      </c>
      <c r="G88" t="s">
        <v>21</v>
      </c>
      <c r="H88">
        <v>57278</v>
      </c>
      <c r="I88" t="str">
        <f>HYPERLINK("https://www.inaturalist.org/taxa/57278-Ailanthus-altissima", "View")</f>
        <v>View</v>
      </c>
      <c r="J88" t="s">
        <v>20</v>
      </c>
      <c r="K88" t="s">
        <v>26</v>
      </c>
      <c r="L88">
        <v>57278</v>
      </c>
      <c r="M88">
        <v>36</v>
      </c>
      <c r="N88">
        <v>96.55</v>
      </c>
      <c r="P88">
        <v>1</v>
      </c>
      <c r="R88" t="s">
        <v>27</v>
      </c>
      <c r="S88" t="s">
        <v>25</v>
      </c>
    </row>
    <row r="89" spans="1:19" x14ac:dyDescent="0.25">
      <c r="A89">
        <v>88</v>
      </c>
      <c r="B89" t="str">
        <f>HYPERLINK("https://imapinvasives.natureserve.org/imap/services/page/Presence/1038112.html", "View")</f>
        <v>View</v>
      </c>
      <c r="C89">
        <v>1038112</v>
      </c>
      <c r="D89">
        <v>1041470</v>
      </c>
      <c r="E89" t="str">
        <f>HYPERLINK("http://imap3images.s3-website-us-east-1.amazonaws.com/1041470/p/attachment2.jpg", "View")</f>
        <v>View</v>
      </c>
      <c r="F89" t="s">
        <v>20</v>
      </c>
      <c r="G89" t="s">
        <v>21</v>
      </c>
      <c r="H89">
        <v>57278</v>
      </c>
      <c r="I89" t="str">
        <f>HYPERLINK("https://www.inaturalist.org/taxa/54504-Juglans-nigra", "View")</f>
        <v>View</v>
      </c>
      <c r="J89" t="s">
        <v>41</v>
      </c>
      <c r="K89" t="s">
        <v>42</v>
      </c>
      <c r="L89">
        <v>54504</v>
      </c>
      <c r="M89">
        <v>17.38</v>
      </c>
      <c r="N89">
        <v>14.66</v>
      </c>
      <c r="P89">
        <v>0</v>
      </c>
      <c r="R89" t="s">
        <v>31</v>
      </c>
      <c r="S89" t="s">
        <v>28</v>
      </c>
    </row>
    <row r="90" spans="1:19" x14ac:dyDescent="0.25">
      <c r="A90">
        <v>89</v>
      </c>
      <c r="B90" t="str">
        <f>HYPERLINK("https://imapinvasives.natureserve.org/imap/services/page/Presence/1442770.html", "View")</f>
        <v>View</v>
      </c>
      <c r="C90">
        <v>1442770</v>
      </c>
      <c r="D90">
        <v>1457347</v>
      </c>
      <c r="E90" t="str">
        <f>HYPERLINK("http://imap3images.s3-website-us-east-1.amazonaws.com/1457347/p/Photo_2.jpg", "View")</f>
        <v>View</v>
      </c>
      <c r="F90" t="s">
        <v>20</v>
      </c>
      <c r="G90" t="s">
        <v>21</v>
      </c>
      <c r="H90">
        <v>57278</v>
      </c>
      <c r="I90" t="str">
        <f>HYPERLINK("https://www.inaturalist.org/taxa/49157-Betula-lenta", "View")</f>
        <v>View</v>
      </c>
      <c r="J90" t="s">
        <v>68</v>
      </c>
      <c r="K90" t="s">
        <v>69</v>
      </c>
      <c r="L90">
        <v>49157</v>
      </c>
      <c r="M90">
        <v>54.08</v>
      </c>
      <c r="N90">
        <v>8.64</v>
      </c>
      <c r="P90">
        <v>0</v>
      </c>
      <c r="R90" t="s">
        <v>31</v>
      </c>
      <c r="S90" t="s">
        <v>40</v>
      </c>
    </row>
    <row r="91" spans="1:19" x14ac:dyDescent="0.25">
      <c r="A91">
        <v>90</v>
      </c>
      <c r="B91" t="str">
        <f>HYPERLINK("https://imapinvasives.natureserve.org/imap/services/page/Presence/1145367.html", "View")</f>
        <v>View</v>
      </c>
      <c r="C91">
        <v>1145367</v>
      </c>
      <c r="D91">
        <v>1151899</v>
      </c>
      <c r="E91" t="str">
        <f>HYPERLINK("http://imap3images.s3-website-us-east-1.amazonaws.com/1151899/p/imap_app_photo_1623282032956.jpg", "View")</f>
        <v>View</v>
      </c>
      <c r="F91" t="s">
        <v>20</v>
      </c>
      <c r="G91" t="s">
        <v>21</v>
      </c>
      <c r="H91">
        <v>57278</v>
      </c>
      <c r="I91" t="str">
        <f>HYPERLINK("https://www.inaturalist.org/taxa/57278-Ailanthus-altissima", "View")</f>
        <v>View</v>
      </c>
      <c r="J91" t="s">
        <v>20</v>
      </c>
      <c r="K91" t="s">
        <v>26</v>
      </c>
      <c r="L91">
        <v>57278</v>
      </c>
      <c r="M91">
        <v>24.01</v>
      </c>
      <c r="N91">
        <v>99.64</v>
      </c>
      <c r="P91">
        <v>1</v>
      </c>
      <c r="R91" t="s">
        <v>27</v>
      </c>
      <c r="S91" t="s">
        <v>28</v>
      </c>
    </row>
    <row r="92" spans="1:19" x14ac:dyDescent="0.25">
      <c r="A92">
        <v>91</v>
      </c>
      <c r="B92" s="2" t="str">
        <f>HYPERLINK("https://imapinvasives.natureserve.org/imap/services/page/Presence/1284546.html", "View")</f>
        <v>View</v>
      </c>
      <c r="C92">
        <v>1284546</v>
      </c>
      <c r="D92">
        <v>1294126</v>
      </c>
      <c r="E92" t="str">
        <f>HYPERLINK("http://imap3images.s3-website-us-east-1.amazonaws.com/1294126/p/DSCN8676.JPG", "View")</f>
        <v>View</v>
      </c>
      <c r="F92" t="s">
        <v>20</v>
      </c>
      <c r="G92" t="s">
        <v>21</v>
      </c>
      <c r="H92">
        <v>57278</v>
      </c>
      <c r="I92" t="str">
        <f>HYPERLINK("https://www.inaturalist.org/taxa/57278-Ailanthus-altissima", "View")</f>
        <v>View</v>
      </c>
      <c r="J92" t="s">
        <v>20</v>
      </c>
      <c r="K92" t="s">
        <v>26</v>
      </c>
      <c r="L92">
        <v>57278</v>
      </c>
      <c r="M92">
        <v>56.26</v>
      </c>
      <c r="N92">
        <v>98.98</v>
      </c>
      <c r="P92">
        <v>1</v>
      </c>
      <c r="R92" t="s">
        <v>27</v>
      </c>
      <c r="S92" t="s">
        <v>28</v>
      </c>
    </row>
    <row r="93" spans="1:19" x14ac:dyDescent="0.25">
      <c r="A93">
        <v>92</v>
      </c>
      <c r="B93" t="str">
        <f>HYPERLINK("https://imapinvasives.natureserve.org/imap/services/page/Presence/1023507.html", "View")</f>
        <v>View</v>
      </c>
      <c r="C93">
        <v>1023507</v>
      </c>
      <c r="D93">
        <v>1024094</v>
      </c>
      <c r="E93" t="str">
        <f>HYPERLINK("http://imap3images.s3-website-us-east-1.amazonaws.com/1024094/p/imap_app_photo_1564239012835.jpg", "View")</f>
        <v>View</v>
      </c>
      <c r="F93" t="s">
        <v>20</v>
      </c>
      <c r="G93" t="s">
        <v>21</v>
      </c>
      <c r="H93">
        <v>57278</v>
      </c>
      <c r="I93" t="str">
        <f>HYPERLINK("https://www.inaturalist.org/taxa/57278-Ailanthus-altissima", "View")</f>
        <v>View</v>
      </c>
      <c r="J93" t="s">
        <v>20</v>
      </c>
      <c r="K93" t="s">
        <v>26</v>
      </c>
      <c r="L93">
        <v>57278</v>
      </c>
      <c r="M93">
        <v>41.73</v>
      </c>
      <c r="N93">
        <v>99.24</v>
      </c>
      <c r="P93">
        <v>1</v>
      </c>
      <c r="R93" t="s">
        <v>27</v>
      </c>
      <c r="S93" t="s">
        <v>28</v>
      </c>
    </row>
    <row r="94" spans="1:19" x14ac:dyDescent="0.25">
      <c r="A94">
        <v>93</v>
      </c>
      <c r="B94" t="str">
        <f>HYPERLINK("https://imapinvasives.natureserve.org/imap/services/page/Presence/1119838.html", "View")</f>
        <v>View</v>
      </c>
      <c r="C94">
        <v>1119838</v>
      </c>
      <c r="D94">
        <v>1125994</v>
      </c>
      <c r="E94" t="str">
        <f>HYPERLINK("http://imap3images.s3-website-us-east-1.amazonaws.com/1125994/p/imap_app_photo_1615408309522.jpg", "View")</f>
        <v>View</v>
      </c>
      <c r="F94" t="s">
        <v>20</v>
      </c>
      <c r="G94" t="s">
        <v>21</v>
      </c>
      <c r="H94">
        <v>57278</v>
      </c>
      <c r="I94" t="str">
        <f>HYPERLINK("https://www.inaturalist.org/taxa/52543-Acer-saccharum", "View")</f>
        <v>View</v>
      </c>
      <c r="J94" t="s">
        <v>70</v>
      </c>
      <c r="K94" t="s">
        <v>71</v>
      </c>
      <c r="L94">
        <v>52543</v>
      </c>
      <c r="M94">
        <v>37.880000000000003</v>
      </c>
      <c r="N94">
        <v>27.04</v>
      </c>
      <c r="P94">
        <v>0</v>
      </c>
      <c r="R94" t="s">
        <v>24</v>
      </c>
      <c r="S94" t="s">
        <v>40</v>
      </c>
    </row>
    <row r="95" spans="1:19" x14ac:dyDescent="0.25">
      <c r="A95">
        <v>94</v>
      </c>
      <c r="B95" t="str">
        <f>HYPERLINK("https://imapinvasives.natureserve.org/imap/services/page/Presence/1022521.html", "View")</f>
        <v>View</v>
      </c>
      <c r="C95">
        <v>1022521</v>
      </c>
      <c r="D95">
        <v>1023063</v>
      </c>
      <c r="E95" t="str">
        <f>HYPERLINK("http://imap3images.s3-website-us-east-1.amazonaws.com/1023063/p/imap_app_photo_1563479462438.jpg", "View")</f>
        <v>View</v>
      </c>
      <c r="F95" t="s">
        <v>20</v>
      </c>
      <c r="G95" t="s">
        <v>21</v>
      </c>
      <c r="H95">
        <v>57278</v>
      </c>
      <c r="I95" t="str">
        <f>HYPERLINK("https://www.inaturalist.org/taxa/57278-Ailanthus-altissima", "View")</f>
        <v>View</v>
      </c>
      <c r="J95" t="s">
        <v>20</v>
      </c>
      <c r="K95" t="s">
        <v>26</v>
      </c>
      <c r="L95">
        <v>57278</v>
      </c>
      <c r="M95">
        <v>56.26</v>
      </c>
      <c r="N95">
        <v>95.61</v>
      </c>
      <c r="P95">
        <v>1</v>
      </c>
      <c r="R95" t="s">
        <v>27</v>
      </c>
      <c r="S95" t="s">
        <v>28</v>
      </c>
    </row>
    <row r="96" spans="1:19" x14ac:dyDescent="0.25">
      <c r="A96">
        <v>95</v>
      </c>
      <c r="B96" t="str">
        <f>HYPERLINK("https://imapinvasives.natureserve.org/imap/services/page/Presence/515506.html", "View")</f>
        <v>View</v>
      </c>
      <c r="C96">
        <v>515506</v>
      </c>
      <c r="D96">
        <v>515506</v>
      </c>
      <c r="E96" t="str">
        <f>HYPERLINK("http://imap3images.s3-website-us-east-1.amazonaws.com/515506/p/photourl1_2017_10_06_annullmann_srw2yx1p.jpg", "View")</f>
        <v>View</v>
      </c>
      <c r="F96" t="s">
        <v>20</v>
      </c>
      <c r="G96" t="s">
        <v>21</v>
      </c>
      <c r="H96">
        <v>57278</v>
      </c>
      <c r="I96" t="str">
        <f>HYPERLINK("https://www.inaturalist.org/taxa/57278-Ailanthus-altissima", "View")</f>
        <v>View</v>
      </c>
      <c r="J96" t="s">
        <v>20</v>
      </c>
      <c r="K96" t="s">
        <v>26</v>
      </c>
      <c r="L96">
        <v>57278</v>
      </c>
      <c r="M96">
        <v>5.49</v>
      </c>
      <c r="N96">
        <v>77.41</v>
      </c>
      <c r="P96">
        <v>1</v>
      </c>
      <c r="R96" t="s">
        <v>27</v>
      </c>
      <c r="S96" t="s">
        <v>28</v>
      </c>
    </row>
    <row r="97" spans="1:19" x14ac:dyDescent="0.25">
      <c r="A97">
        <v>96</v>
      </c>
      <c r="B97" t="str">
        <f>HYPERLINK("https://imapinvasives.natureserve.org/imap/services/page/Presence/1298918.html", "View")</f>
        <v>View</v>
      </c>
      <c r="C97">
        <v>1298918</v>
      </c>
      <c r="D97">
        <v>1309250</v>
      </c>
      <c r="E97" t="str">
        <f>HYPERLINK("http://imap3images.s3-website-us-east-1.amazonaws.com/1309250/p/imap_app_photo_1665958829342.jpg", "View")</f>
        <v>View</v>
      </c>
      <c r="F97" t="s">
        <v>20</v>
      </c>
      <c r="G97" t="s">
        <v>21</v>
      </c>
      <c r="H97">
        <v>57278</v>
      </c>
      <c r="I97" t="str">
        <f>HYPERLINK("https://www.inaturalist.org/taxa/167829-Rhus-typhina", "View")</f>
        <v>View</v>
      </c>
      <c r="J97" t="s">
        <v>51</v>
      </c>
      <c r="K97" t="s">
        <v>52</v>
      </c>
      <c r="L97">
        <v>167829</v>
      </c>
      <c r="M97">
        <v>45.06</v>
      </c>
      <c r="N97">
        <v>72.73</v>
      </c>
      <c r="P97">
        <v>0</v>
      </c>
      <c r="R97" t="s">
        <v>31</v>
      </c>
      <c r="S97" t="s">
        <v>25</v>
      </c>
    </row>
    <row r="98" spans="1:19" x14ac:dyDescent="0.25">
      <c r="A98">
        <v>97</v>
      </c>
      <c r="B98" t="str">
        <f>HYPERLINK("https://imapinvasives.natureserve.org/imap/services/page/Presence/1018356.html", "View")</f>
        <v>View</v>
      </c>
      <c r="C98">
        <v>1018356</v>
      </c>
      <c r="D98">
        <v>1018875</v>
      </c>
      <c r="E98" t="str">
        <f>HYPERLINK("http://imap3images.s3-website-us-east-1.amazonaws.com/1018875/p/hostPhoto-20180914-185213.jpg", "View")</f>
        <v>View</v>
      </c>
      <c r="F98" t="s">
        <v>20</v>
      </c>
      <c r="G98" t="s">
        <v>21</v>
      </c>
      <c r="H98">
        <v>57278</v>
      </c>
      <c r="I98" t="str">
        <f>HYPERLINK("https://www.inaturalist.org/taxa/57278-Ailanthus-altissima", "View")</f>
        <v>View</v>
      </c>
      <c r="J98" t="s">
        <v>20</v>
      </c>
      <c r="K98" t="s">
        <v>26</v>
      </c>
      <c r="L98">
        <v>57278</v>
      </c>
      <c r="M98">
        <v>14.62</v>
      </c>
      <c r="N98">
        <v>54.86</v>
      </c>
      <c r="P98">
        <v>1</v>
      </c>
      <c r="R98" t="s">
        <v>27</v>
      </c>
      <c r="S98" t="s">
        <v>28</v>
      </c>
    </row>
    <row r="99" spans="1:19" x14ac:dyDescent="0.25">
      <c r="A99">
        <v>98</v>
      </c>
      <c r="B99" t="str">
        <f>HYPERLINK("https://imapinvasives.natureserve.org/imap/services/page/Presence/1018334.html", "View")</f>
        <v>View</v>
      </c>
      <c r="C99">
        <v>1018334</v>
      </c>
      <c r="D99">
        <v>1018853</v>
      </c>
      <c r="E99" t="str">
        <f>HYPERLINK("http://imap3images.s3-website-us-east-1.amazonaws.com/1018853/p/hostPhoto-20180912-143831.jpg", "View")</f>
        <v>View</v>
      </c>
      <c r="F99" t="s">
        <v>20</v>
      </c>
      <c r="G99" t="s">
        <v>21</v>
      </c>
      <c r="H99">
        <v>57278</v>
      </c>
      <c r="I99" t="str">
        <f>HYPERLINK("https://www.inaturalist.org/taxa/57278-Ailanthus-altissima", "View")</f>
        <v>View</v>
      </c>
      <c r="J99" t="s">
        <v>20</v>
      </c>
      <c r="K99" t="s">
        <v>26</v>
      </c>
      <c r="L99">
        <v>57278</v>
      </c>
      <c r="M99">
        <v>14.62</v>
      </c>
      <c r="N99">
        <v>73.89</v>
      </c>
      <c r="P99">
        <v>1</v>
      </c>
      <c r="R99" t="s">
        <v>27</v>
      </c>
      <c r="S99" t="s">
        <v>35</v>
      </c>
    </row>
    <row r="100" spans="1:19" x14ac:dyDescent="0.25">
      <c r="A100">
        <v>99</v>
      </c>
      <c r="B100" t="str">
        <f>HYPERLINK("https://imapinvasives.natureserve.org/imap/services/page/Presence/529322.html", "View")</f>
        <v>View</v>
      </c>
      <c r="C100">
        <v>529322</v>
      </c>
      <c r="D100">
        <v>529322</v>
      </c>
      <c r="E100" t="str">
        <f>HYPERLINK("http://imap3images.s3-website-us-east-1.amazonaws.com/529322/p/photourl1_2018_07_25_carmcmullen_el4hra03.jpg", "View")</f>
        <v>View</v>
      </c>
      <c r="F100" t="s">
        <v>20</v>
      </c>
      <c r="G100" t="s">
        <v>21</v>
      </c>
      <c r="H100">
        <v>57278</v>
      </c>
      <c r="I100" t="str">
        <f>HYPERLINK("https://www.inaturalist.org/taxa/57278-Ailanthus-altissima", "View")</f>
        <v>View</v>
      </c>
      <c r="J100" t="s">
        <v>20</v>
      </c>
      <c r="K100" t="s">
        <v>26</v>
      </c>
      <c r="L100">
        <v>57278</v>
      </c>
      <c r="M100">
        <v>33.44</v>
      </c>
      <c r="N100">
        <v>21.13</v>
      </c>
      <c r="P100">
        <v>1</v>
      </c>
      <c r="R100" t="s">
        <v>27</v>
      </c>
      <c r="S100" t="s">
        <v>40</v>
      </c>
    </row>
    <row r="101" spans="1:19" x14ac:dyDescent="0.25">
      <c r="A101">
        <v>100</v>
      </c>
      <c r="B101" t="str">
        <f>HYPERLINK("https://imapinvasives.natureserve.org/imap/services/page/Presence/528614.html", "View")</f>
        <v>View</v>
      </c>
      <c r="C101">
        <v>528614</v>
      </c>
      <c r="D101">
        <v>528614</v>
      </c>
      <c r="E101" t="str">
        <f>HYPERLINK("http://imap3images.s3-website-us-east-1.amazonaws.com/528614/p/photourl1_2018_07_11_mormotherwell_0qe7rcls.jpg", "View")</f>
        <v>View</v>
      </c>
      <c r="F101" t="s">
        <v>20</v>
      </c>
      <c r="G101" t="s">
        <v>21</v>
      </c>
      <c r="H101">
        <v>57278</v>
      </c>
      <c r="I101" t="str">
        <f>HYPERLINK("https://www.inaturalist.org/taxa/57278-Ailanthus-altissima", "View")</f>
        <v>View</v>
      </c>
      <c r="J101" t="s">
        <v>20</v>
      </c>
      <c r="K101" t="s">
        <v>26</v>
      </c>
      <c r="L101">
        <v>57278</v>
      </c>
      <c r="M101">
        <v>3.73</v>
      </c>
      <c r="N101">
        <v>84.59</v>
      </c>
      <c r="P101">
        <v>1</v>
      </c>
      <c r="R101" t="s">
        <v>27</v>
      </c>
      <c r="S101" t="s">
        <v>28</v>
      </c>
    </row>
  </sheetData>
  <dataValidations count="2">
    <dataValidation type="list" allowBlank="1" showInputMessage="1" showErrorMessage="1" sqref="R1:R1048576" xr:uid="{8A374581-B599-4E49-8BC0-DB36D0614CAD}">
      <formula1>"iMap is only correct, iNat is only correct, Both iMap and iNat correct, Both iMap and iNat incorrect, Undeterminable"</formula1>
    </dataValidation>
    <dataValidation type="list" allowBlank="1" showInputMessage="1" showErrorMessage="1" sqref="S1:S1048576" xr:uid="{E3D938E7-DA60-4AAF-8325-2C478C91C775}">
      <formula1>"Good photo, Bad-Photo taken from long distance, Bad-Multiple focused species, Bad-limited contrast, Bad-Blur Photo, Bad-Dried Stems, Bad-Focused Different Species"</formula1>
    </dataValidation>
  </dataValidations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4af2be-2bfe-41c5-83a2-1a417abf1415">
      <Terms xmlns="http://schemas.microsoft.com/office/infopath/2007/PartnerControls"/>
    </lcf76f155ced4ddcb4097134ff3c332f>
    <Notes xmlns="5c4af2be-2bfe-41c5-83a2-1a417abf1415" xsi:nil="true"/>
    <TaxCatchAll xmlns="c9e60429-3073-47a3-9bf8-27645aff9dc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C69D91F7ECFA46BE3736ABC41C75CC" ma:contentTypeVersion="17" ma:contentTypeDescription="Create a new document." ma:contentTypeScope="" ma:versionID="42a6329289cebee2205db48994a0fb11">
  <xsd:schema xmlns:xsd="http://www.w3.org/2001/XMLSchema" xmlns:xs="http://www.w3.org/2001/XMLSchema" xmlns:p="http://schemas.microsoft.com/office/2006/metadata/properties" xmlns:ns2="5c4af2be-2bfe-41c5-83a2-1a417abf1415" xmlns:ns3="c9e60429-3073-47a3-9bf8-27645aff9dc1" targetNamespace="http://schemas.microsoft.com/office/2006/metadata/properties" ma:root="true" ma:fieldsID="90b5622dee7e8d31a96bb3db4f1af467" ns2:_="" ns3:_="">
    <xsd:import namespace="5c4af2be-2bfe-41c5-83a2-1a417abf1415"/>
    <xsd:import namespace="c9e60429-3073-47a3-9bf8-27645aff9d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af2be-2bfe-41c5-83a2-1a417abf14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Notes" ma:index="19" nillable="true" ma:displayName="Notes" ma:description="More information about the file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39e25b7-0a97-41c9-a156-d5f3062356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e60429-3073-47a3-9bf8-27645aff9d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6314f4f-ac54-402f-a2ab-72d7e6f2634b}" ma:internalName="TaxCatchAll" ma:showField="CatchAllData" ma:web="c9e60429-3073-47a3-9bf8-27645aff9d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91141E-CCA9-4060-A693-4F8CEB97AF7C}">
  <ds:schemaRefs>
    <ds:schemaRef ds:uri="http://schemas.microsoft.com/office/2006/metadata/properties"/>
    <ds:schemaRef ds:uri="http://schemas.microsoft.com/office/infopath/2007/PartnerControls"/>
    <ds:schemaRef ds:uri="5c4af2be-2bfe-41c5-83a2-1a417abf1415"/>
    <ds:schemaRef ds:uri="c9e60429-3073-47a3-9bf8-27645aff9dc1"/>
  </ds:schemaRefs>
</ds:datastoreItem>
</file>

<file path=customXml/itemProps2.xml><?xml version="1.0" encoding="utf-8"?>
<ds:datastoreItem xmlns:ds="http://schemas.openxmlformats.org/officeDocument/2006/customXml" ds:itemID="{27A970EC-A03F-41AE-B0FB-58A94B12AB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F781D5-D2D9-48B2-B110-3395CC47DD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4af2be-2bfe-41c5-83a2-1a417abf1415"/>
    <ds:schemaRef ds:uri="c9e60429-3073-47a3-9bf8-27645aff9d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Selected Records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Taposh Mollick</cp:lastModifiedBy>
  <cp:revision/>
  <dcterms:created xsi:type="dcterms:W3CDTF">2025-01-09T01:44:56Z</dcterms:created>
  <dcterms:modified xsi:type="dcterms:W3CDTF">2025-03-03T00:46:38Z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0x010100D5C69D91F7ECFA46BE3736ABC41C75CC</vt:lpwstr>
  </property>
  <property fmtid="{D5CDD505-2E9C-101B-9397-08002B2CF9AE}" pid="3" name="MediaServiceImageTags">
    <vt:lpwstr/>
  </property>
</Properties>
</file>