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mollick\Documents\iMapML\Outputs\"/>
    </mc:Choice>
  </mc:AlternateContent>
  <xr:revisionPtr revIDLastSave="0" documentId="13_ncr:1_{61B85556-B04E-442E-8D92-03D931F861F8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rocessed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1" i="1" l="1"/>
  <c r="E101" i="1"/>
  <c r="B101" i="1"/>
  <c r="I100" i="1"/>
  <c r="E100" i="1"/>
  <c r="B100" i="1"/>
  <c r="I99" i="1"/>
  <c r="E99" i="1"/>
  <c r="B99" i="1"/>
  <c r="I98" i="1"/>
  <c r="E98" i="1"/>
  <c r="B98" i="1"/>
  <c r="I97" i="1"/>
  <c r="E97" i="1"/>
  <c r="B97" i="1"/>
  <c r="I96" i="1"/>
  <c r="E96" i="1"/>
  <c r="B96" i="1"/>
  <c r="I95" i="1"/>
  <c r="E95" i="1"/>
  <c r="B95" i="1"/>
  <c r="B94" i="1"/>
  <c r="I93" i="1"/>
  <c r="E93" i="1"/>
  <c r="B93" i="1"/>
  <c r="E92" i="1"/>
  <c r="B92" i="1"/>
  <c r="B91" i="1"/>
  <c r="B90" i="1"/>
  <c r="I89" i="1"/>
  <c r="E89" i="1"/>
  <c r="B89" i="1"/>
  <c r="B88" i="1"/>
  <c r="I87" i="1"/>
  <c r="E87" i="1"/>
  <c r="B87" i="1"/>
  <c r="I86" i="1"/>
  <c r="E86" i="1"/>
  <c r="B86" i="1"/>
  <c r="I85" i="1"/>
  <c r="E85" i="1"/>
  <c r="B85" i="1"/>
  <c r="I84" i="1"/>
  <c r="E84" i="1"/>
  <c r="B84" i="1"/>
  <c r="I83" i="1"/>
  <c r="E83" i="1"/>
  <c r="B83" i="1"/>
  <c r="I82" i="1"/>
  <c r="E82" i="1"/>
  <c r="B82" i="1"/>
  <c r="I81" i="1"/>
  <c r="E81" i="1"/>
  <c r="B81" i="1"/>
  <c r="B80" i="1"/>
  <c r="I79" i="1"/>
  <c r="E79" i="1"/>
  <c r="B79" i="1"/>
  <c r="I78" i="1"/>
  <c r="E78" i="1"/>
  <c r="B78" i="1"/>
  <c r="I77" i="1"/>
  <c r="E77" i="1"/>
  <c r="B77" i="1"/>
  <c r="E76" i="1"/>
  <c r="B76" i="1"/>
  <c r="I75" i="1"/>
  <c r="E75" i="1"/>
  <c r="B75" i="1"/>
  <c r="I74" i="1"/>
  <c r="E74" i="1"/>
  <c r="B74" i="1"/>
  <c r="I73" i="1"/>
  <c r="E73" i="1"/>
  <c r="B73" i="1"/>
  <c r="I72" i="1"/>
  <c r="E72" i="1"/>
  <c r="B72" i="1"/>
  <c r="I71" i="1"/>
  <c r="E71" i="1"/>
  <c r="B71" i="1"/>
  <c r="I70" i="1"/>
  <c r="E70" i="1"/>
  <c r="B70" i="1"/>
  <c r="I69" i="1"/>
  <c r="E69" i="1"/>
  <c r="B69" i="1"/>
  <c r="I68" i="1"/>
  <c r="E68" i="1"/>
  <c r="B68" i="1"/>
  <c r="I67" i="1"/>
  <c r="E67" i="1"/>
  <c r="B67" i="1"/>
  <c r="I66" i="1"/>
  <c r="E66" i="1"/>
  <c r="B66" i="1"/>
  <c r="I65" i="1"/>
  <c r="E65" i="1"/>
  <c r="B65" i="1"/>
  <c r="I64" i="1"/>
  <c r="E64" i="1"/>
  <c r="B64" i="1"/>
  <c r="I63" i="1"/>
  <c r="E63" i="1"/>
  <c r="B63" i="1"/>
  <c r="I62" i="1"/>
  <c r="E62" i="1"/>
  <c r="B62" i="1"/>
  <c r="I61" i="1"/>
  <c r="E61" i="1"/>
  <c r="B61" i="1"/>
  <c r="I60" i="1"/>
  <c r="E60" i="1"/>
  <c r="B60" i="1"/>
  <c r="I59" i="1"/>
  <c r="E59" i="1"/>
  <c r="B59" i="1"/>
  <c r="I58" i="1"/>
  <c r="E58" i="1"/>
  <c r="B58" i="1"/>
  <c r="I57" i="1"/>
  <c r="E57" i="1"/>
  <c r="B57" i="1"/>
  <c r="I56" i="1"/>
  <c r="E56" i="1"/>
  <c r="B56" i="1"/>
  <c r="I55" i="1"/>
  <c r="E55" i="1"/>
  <c r="B55" i="1"/>
  <c r="I54" i="1"/>
  <c r="E54" i="1"/>
  <c r="B54" i="1"/>
  <c r="I53" i="1"/>
  <c r="E53" i="1"/>
  <c r="B53" i="1"/>
  <c r="I52" i="1"/>
  <c r="E52" i="1"/>
  <c r="B52" i="1"/>
  <c r="I51" i="1"/>
  <c r="E51" i="1"/>
  <c r="B51" i="1"/>
  <c r="I50" i="1"/>
  <c r="E50" i="1"/>
  <c r="B50" i="1"/>
  <c r="I49" i="1"/>
  <c r="E49" i="1"/>
  <c r="B49" i="1"/>
  <c r="I48" i="1"/>
  <c r="E48" i="1"/>
  <c r="B48" i="1"/>
  <c r="I47" i="1"/>
  <c r="E47" i="1"/>
  <c r="B47" i="1"/>
  <c r="I46" i="1"/>
  <c r="E46" i="1"/>
  <c r="B46" i="1"/>
  <c r="I45" i="1"/>
  <c r="E45" i="1"/>
  <c r="B45" i="1"/>
  <c r="I44" i="1"/>
  <c r="E44" i="1"/>
  <c r="B44" i="1"/>
  <c r="I43" i="1"/>
  <c r="E43" i="1"/>
  <c r="B43" i="1"/>
  <c r="E42" i="1"/>
  <c r="B42" i="1"/>
  <c r="I41" i="1"/>
  <c r="E41" i="1"/>
  <c r="B41" i="1"/>
  <c r="I40" i="1"/>
  <c r="E40" i="1"/>
  <c r="B40" i="1"/>
  <c r="I39" i="1"/>
  <c r="E39" i="1"/>
  <c r="B39" i="1"/>
  <c r="I38" i="1"/>
  <c r="E38" i="1"/>
  <c r="B38" i="1"/>
  <c r="I37" i="1"/>
  <c r="E37" i="1"/>
  <c r="B37" i="1"/>
  <c r="I36" i="1"/>
  <c r="E36" i="1"/>
  <c r="B36" i="1"/>
  <c r="I35" i="1"/>
  <c r="E35" i="1"/>
  <c r="B35" i="1"/>
  <c r="I34" i="1"/>
  <c r="E34" i="1"/>
  <c r="B34" i="1"/>
  <c r="I33" i="1"/>
  <c r="E33" i="1"/>
  <c r="B33" i="1"/>
  <c r="I32" i="1"/>
  <c r="E32" i="1"/>
  <c r="B32" i="1"/>
  <c r="I31" i="1"/>
  <c r="E31" i="1"/>
  <c r="B31" i="1"/>
  <c r="I30" i="1"/>
  <c r="E30" i="1"/>
  <c r="B30" i="1"/>
  <c r="I29" i="1"/>
  <c r="E29" i="1"/>
  <c r="B29" i="1"/>
  <c r="I28" i="1"/>
  <c r="E28" i="1"/>
  <c r="B28" i="1"/>
  <c r="I27" i="1"/>
  <c r="E27" i="1"/>
  <c r="B27" i="1"/>
  <c r="I26" i="1"/>
  <c r="E26" i="1"/>
  <c r="B26" i="1"/>
  <c r="I25" i="1"/>
  <c r="E25" i="1"/>
  <c r="B25" i="1"/>
  <c r="I24" i="1"/>
  <c r="E24" i="1"/>
  <c r="B24" i="1"/>
  <c r="I23" i="1"/>
  <c r="E23" i="1"/>
  <c r="B23" i="1"/>
  <c r="I22" i="1"/>
  <c r="E22" i="1"/>
  <c r="B22" i="1"/>
  <c r="I21" i="1"/>
  <c r="E21" i="1"/>
  <c r="B21" i="1"/>
  <c r="I20" i="1"/>
  <c r="E20" i="1"/>
  <c r="B20" i="1"/>
  <c r="I19" i="1"/>
  <c r="E19" i="1"/>
  <c r="B19" i="1"/>
  <c r="I18" i="1"/>
  <c r="E18" i="1"/>
  <c r="B18" i="1"/>
  <c r="I17" i="1"/>
  <c r="E17" i="1"/>
  <c r="B17" i="1"/>
  <c r="I16" i="1"/>
  <c r="E16" i="1"/>
  <c r="B16" i="1"/>
  <c r="I15" i="1"/>
  <c r="E15" i="1"/>
  <c r="B15" i="1"/>
  <c r="I14" i="1"/>
  <c r="E14" i="1"/>
  <c r="B14" i="1"/>
  <c r="I13" i="1"/>
  <c r="E13" i="1"/>
  <c r="B13" i="1"/>
  <c r="I12" i="1"/>
  <c r="E12" i="1"/>
  <c r="B12" i="1"/>
  <c r="I11" i="1"/>
  <c r="E11" i="1"/>
  <c r="B11" i="1"/>
  <c r="I10" i="1"/>
  <c r="E10" i="1"/>
  <c r="B10" i="1"/>
  <c r="I9" i="1"/>
  <c r="E9" i="1"/>
  <c r="B9" i="1"/>
  <c r="I8" i="1"/>
  <c r="E8" i="1"/>
  <c r="B8" i="1"/>
  <c r="I7" i="1"/>
  <c r="E7" i="1"/>
  <c r="B7" i="1"/>
  <c r="I6" i="1"/>
  <c r="E6" i="1"/>
  <c r="B6" i="1"/>
  <c r="I5" i="1"/>
  <c r="E5" i="1"/>
  <c r="B5" i="1"/>
  <c r="I4" i="1"/>
  <c r="E4" i="1"/>
  <c r="B4" i="1"/>
  <c r="I3" i="1"/>
  <c r="E3" i="1"/>
  <c r="B3" i="1"/>
</calcChain>
</file>

<file path=xl/sharedStrings.xml><?xml version="1.0" encoding="utf-8"?>
<sst xmlns="http://schemas.openxmlformats.org/spreadsheetml/2006/main" count="959" uniqueCount="105">
  <si>
    <t>S.L.</t>
  </si>
  <si>
    <t>imaplink</t>
  </si>
  <si>
    <t>presenceId</t>
  </si>
  <si>
    <t>presentSpeciesId</t>
  </si>
  <si>
    <t>iMapPhoto</t>
  </si>
  <si>
    <t>imap_sci</t>
  </si>
  <si>
    <t>imap_com</t>
  </si>
  <si>
    <t>imap_record_taxon</t>
  </si>
  <si>
    <t>inatlink</t>
  </si>
  <si>
    <t>inat_sci</t>
  </si>
  <si>
    <t>inat_com</t>
  </si>
  <si>
    <t>inat_taxon</t>
  </si>
  <si>
    <t>geo_score</t>
  </si>
  <si>
    <t>com_score</t>
  </si>
  <si>
    <t>species_label</t>
  </si>
  <si>
    <t>com_status</t>
  </si>
  <si>
    <t>NYS_Tier</t>
  </si>
  <si>
    <t>Species_selected_threshold</t>
  </si>
  <si>
    <t>Geo_score_mean</t>
  </si>
  <si>
    <t>Com_score_above_or_below</t>
  </si>
  <si>
    <t>Geo_score_above_or_below</t>
  </si>
  <si>
    <t>Recommended_status</t>
  </si>
  <si>
    <t>Ailanthus altissima</t>
  </si>
  <si>
    <t>Tree-of-Heaven</t>
  </si>
  <si>
    <t>Lycorma delicatula</t>
  </si>
  <si>
    <t>Spotted lanternfly</t>
  </si>
  <si>
    <t>Unmatch</t>
  </si>
  <si>
    <t>4</t>
  </si>
  <si>
    <t>Below</t>
  </si>
  <si>
    <t>Above</t>
  </si>
  <si>
    <t>Manual review</t>
  </si>
  <si>
    <t>Acer negundo</t>
  </si>
  <si>
    <t>Box elder</t>
  </si>
  <si>
    <t>Acer saccharum</t>
  </si>
  <si>
    <t>Sugar maple</t>
  </si>
  <si>
    <t>Carya cordiformis</t>
  </si>
  <si>
    <t>Bitternut hickory</t>
  </si>
  <si>
    <t>Celtis occidentalis</t>
  </si>
  <si>
    <t>Common hackberry</t>
  </si>
  <si>
    <t>Tree-of-heaven</t>
  </si>
  <si>
    <t>Match</t>
  </si>
  <si>
    <t>Automatically confirmed</t>
  </si>
  <si>
    <t>Juglans cinerea</t>
  </si>
  <si>
    <t>Butternut</t>
  </si>
  <si>
    <t>Fagus grandifolia</t>
  </si>
  <si>
    <t>American beech</t>
  </si>
  <si>
    <t>Lawsonia inermis</t>
  </si>
  <si>
    <t>Henna</t>
  </si>
  <si>
    <t>Rhus typhina</t>
  </si>
  <si>
    <t>Staghorn sumac</t>
  </si>
  <si>
    <t>Betula lenta</t>
  </si>
  <si>
    <t>Sweet birch</t>
  </si>
  <si>
    <t>Betula populifolia</t>
  </si>
  <si>
    <t>Gray birch</t>
  </si>
  <si>
    <t>Populus tremuloides</t>
  </si>
  <si>
    <t>Quaking aspen</t>
  </si>
  <si>
    <t>Malus domestica</t>
  </si>
  <si>
    <t>Apple</t>
  </si>
  <si>
    <t>Phragmites australis</t>
  </si>
  <si>
    <t>Common reed</t>
  </si>
  <si>
    <t>Juglans nigra</t>
  </si>
  <si>
    <t>Eastern black walnut</t>
  </si>
  <si>
    <t>Fagus sylvatica</t>
  </si>
  <si>
    <t>European beech</t>
  </si>
  <si>
    <t>Odocoileus virginianus</t>
  </si>
  <si>
    <t>White-tailed deer</t>
  </si>
  <si>
    <t>Quercus rubra</t>
  </si>
  <si>
    <t>Northern red oak</t>
  </si>
  <si>
    <t>Robinia pseudoacacia</t>
  </si>
  <si>
    <t>Black locust</t>
  </si>
  <si>
    <t>Cladrastis kentukea</t>
  </si>
  <si>
    <t>Kentucky yellowwood</t>
  </si>
  <si>
    <t>Unknown</t>
  </si>
  <si>
    <t>Acer rubrum</t>
  </si>
  <si>
    <t>Red maple</t>
  </si>
  <si>
    <t>Artemisia vulgaris</t>
  </si>
  <si>
    <t>Common mugwort</t>
  </si>
  <si>
    <t>Reynoutria japonica</t>
  </si>
  <si>
    <t>Japanese knotweed</t>
  </si>
  <si>
    <t>Catalpa speciosa</t>
  </si>
  <si>
    <t>Northern catalpa</t>
  </si>
  <si>
    <t>Carya ovata</t>
  </si>
  <si>
    <t>Shagbark hickory</t>
  </si>
  <si>
    <t>Cornus mas</t>
  </si>
  <si>
    <t>Cornelian cherry</t>
  </si>
  <si>
    <t>Castor canadensis</t>
  </si>
  <si>
    <t>American beaver</t>
  </si>
  <si>
    <t>Aralia elata</t>
  </si>
  <si>
    <t>Japanese angelica tree</t>
  </si>
  <si>
    <t>Liriodendron tulipifera</t>
  </si>
  <si>
    <t>Tulip tree</t>
  </si>
  <si>
    <t>Acer platanoides</t>
  </si>
  <si>
    <t>Norway maple</t>
  </si>
  <si>
    <t>Pinus strobus</t>
  </si>
  <si>
    <t>Eastern white pine</t>
  </si>
  <si>
    <t>Ceiba trischistandra</t>
  </si>
  <si>
    <t>Wisteria sinensis</t>
  </si>
  <si>
    <t>Chinese wisteria</t>
  </si>
  <si>
    <t>No Photo</t>
  </si>
  <si>
    <t>Gleditsia triacanthos</t>
  </si>
  <si>
    <t>Honey locust</t>
  </si>
  <si>
    <t>Paubrasilia echinata</t>
  </si>
  <si>
    <t>Brazilwood</t>
  </si>
  <si>
    <t>Styphnolobium japonicum</t>
  </si>
  <si>
    <t>Japanese pagoda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</si>
</sst>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1"/>
  <sheetViews>
    <sheetView tabSelected="1" workbookViewId="0">
      <selection activeCell="E11" sqref="E11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16</v>
      </c>
      <c r="C2">
        <v>1360967</v>
      </c>
      <c r="D2">
        <v>1378607</v>
      </c>
      <c r="F2" t="s">
        <v>22</v>
      </c>
      <c r="G2" t="s">
        <v>23</v>
      </c>
      <c r="H2">
        <v>57278</v>
      </c>
      <c r="J2" t="s">
        <v>24</v>
      </c>
      <c r="K2" t="s">
        <v>25</v>
      </c>
      <c r="L2">
        <v>324726</v>
      </c>
      <c r="M2">
        <v>75.55</v>
      </c>
      <c r="N2">
        <v>69.27</v>
      </c>
      <c r="O2">
        <v>0</v>
      </c>
      <c r="P2" t="s">
        <v>26</v>
      </c>
      <c r="Q2" t="s">
        <v>27</v>
      </c>
      <c r="R2">
        <v>87.09</v>
      </c>
      <c r="S2">
        <v>32.68</v>
      </c>
      <c r="T2" t="s">
        <v>28</v>
      </c>
      <c r="U2" t="s">
        <v>29</v>
      </c>
      <c r="V2" t="s">
        <v>30</v>
      </c>
    </row>
    <row r="3" spans="1:22" x14ac:dyDescent="0.25">
      <c r="A3">
        <v>1</v>
      </c>
      <c r="B3" t="str">
        <f>HYPERLINK("https://imapinvasives.natureserve.org/imap/services/page/Presence/1125581.html", "View")</f>
        <v>View</v>
      </c>
      <c r="C3">
        <v>1125581</v>
      </c>
      <c r="D3">
        <v>1131744</v>
      </c>
      <c r="E3" t="str">
        <f>HYPERLINK("http://imap3images.s3-website-us-east-1.amazonaws.com/1131744/p/imap_app_photo_1616770902603.jpg", "View")</f>
        <v>View</v>
      </c>
      <c r="F3" t="s">
        <v>22</v>
      </c>
      <c r="G3" t="s">
        <v>23</v>
      </c>
      <c r="H3">
        <v>57278</v>
      </c>
      <c r="I3" t="str">
        <f>HYPERLINK("https://www.inaturalist.org/taxa/47726-Acer-negundo", "View")</f>
        <v>View</v>
      </c>
      <c r="J3" t="s">
        <v>31</v>
      </c>
      <c r="K3" t="s">
        <v>32</v>
      </c>
      <c r="L3">
        <v>47726</v>
      </c>
      <c r="M3">
        <v>50.87</v>
      </c>
      <c r="N3">
        <v>26.55</v>
      </c>
      <c r="O3">
        <v>0</v>
      </c>
      <c r="P3" t="s">
        <v>26</v>
      </c>
      <c r="Q3" t="s">
        <v>27</v>
      </c>
      <c r="R3">
        <v>87.09</v>
      </c>
      <c r="S3">
        <v>32.68</v>
      </c>
      <c r="T3" t="s">
        <v>28</v>
      </c>
      <c r="U3" t="s">
        <v>29</v>
      </c>
      <c r="V3" t="s">
        <v>30</v>
      </c>
    </row>
    <row r="4" spans="1:22" x14ac:dyDescent="0.25">
      <c r="A4">
        <v>2</v>
      </c>
      <c r="B4" t="str">
        <f>HYPERLINK("https://imapinvasives.natureserve.org/imap/services/page/Presence/1121008.html", "View")</f>
        <v>View</v>
      </c>
      <c r="C4">
        <v>1121008</v>
      </c>
      <c r="D4">
        <v>1127170</v>
      </c>
      <c r="E4" t="str">
        <f>HYPERLINK("http://imap3images.s3-website-us-east-1.amazonaws.com/1127170/p/imap_app_photo_1616249001305.jpg", "View")</f>
        <v>View</v>
      </c>
      <c r="F4" t="s">
        <v>22</v>
      </c>
      <c r="G4" t="s">
        <v>23</v>
      </c>
      <c r="H4">
        <v>57278</v>
      </c>
      <c r="I4" t="str">
        <f>HYPERLINK("https://www.inaturalist.org/taxa/52543-Acer-saccharum", "View")</f>
        <v>View</v>
      </c>
      <c r="J4" t="s">
        <v>33</v>
      </c>
      <c r="K4" t="s">
        <v>34</v>
      </c>
      <c r="L4">
        <v>52543</v>
      </c>
      <c r="M4">
        <v>43.42</v>
      </c>
      <c r="N4">
        <v>32.4</v>
      </c>
      <c r="O4">
        <v>0</v>
      </c>
      <c r="P4" t="s">
        <v>26</v>
      </c>
      <c r="Q4" t="s">
        <v>27</v>
      </c>
      <c r="R4">
        <v>87.09</v>
      </c>
      <c r="S4">
        <v>32.68</v>
      </c>
      <c r="T4" t="s">
        <v>28</v>
      </c>
      <c r="U4" t="s">
        <v>29</v>
      </c>
      <c r="V4" t="s">
        <v>30</v>
      </c>
    </row>
    <row r="5" spans="1:22" x14ac:dyDescent="0.25">
      <c r="A5">
        <v>3</v>
      </c>
      <c r="B5" t="str">
        <f>HYPERLINK("https://imapinvasives.natureserve.org/imap/services/page/Presence/1121095.html", "View")</f>
        <v>View</v>
      </c>
      <c r="C5">
        <v>1121095</v>
      </c>
      <c r="D5">
        <v>1127257</v>
      </c>
      <c r="E5" t="str">
        <f>HYPERLINK("http://imap3images.s3-website-us-east-1.amazonaws.com/1127257/p/imap_app_photo_1616421076030.jpg", "View")</f>
        <v>View</v>
      </c>
      <c r="F5" t="s">
        <v>22</v>
      </c>
      <c r="G5" t="s">
        <v>23</v>
      </c>
      <c r="H5">
        <v>57278</v>
      </c>
      <c r="I5" t="str">
        <f>HYPERLINK("https://www.inaturalist.org/taxa/54787-Carya-cordiformis", "View")</f>
        <v>View</v>
      </c>
      <c r="J5" t="s">
        <v>35</v>
      </c>
      <c r="K5" t="s">
        <v>36</v>
      </c>
      <c r="L5">
        <v>54787</v>
      </c>
      <c r="M5">
        <v>26.81</v>
      </c>
      <c r="N5">
        <v>44.51</v>
      </c>
      <c r="O5">
        <v>0</v>
      </c>
      <c r="P5" t="s">
        <v>26</v>
      </c>
      <c r="Q5" t="s">
        <v>27</v>
      </c>
      <c r="R5">
        <v>87.09</v>
      </c>
      <c r="S5">
        <v>32.68</v>
      </c>
      <c r="T5" t="s">
        <v>28</v>
      </c>
      <c r="U5" t="s">
        <v>28</v>
      </c>
      <c r="V5" t="s">
        <v>30</v>
      </c>
    </row>
    <row r="6" spans="1:22" x14ac:dyDescent="0.25">
      <c r="A6">
        <v>4</v>
      </c>
      <c r="B6" t="str">
        <f>HYPERLINK("https://imapinvasives.natureserve.org/imap/services/page/Presence/1121096.html", "View")</f>
        <v>View</v>
      </c>
      <c r="C6">
        <v>1121096</v>
      </c>
      <c r="D6">
        <v>1127258</v>
      </c>
      <c r="E6" t="str">
        <f>HYPERLINK("http://imap3images.s3-website-us-east-1.amazonaws.com/1127258/p/imap_app_photo_1616421086888.jpg", "View")</f>
        <v>View</v>
      </c>
      <c r="F6" t="s">
        <v>22</v>
      </c>
      <c r="G6" t="s">
        <v>23</v>
      </c>
      <c r="H6">
        <v>57278</v>
      </c>
      <c r="I6" t="str">
        <f>HYPERLINK("https://www.inaturalist.org/taxa/54857-Celtis-occidentalis", "View")</f>
        <v>View</v>
      </c>
      <c r="J6" t="s">
        <v>37</v>
      </c>
      <c r="K6" t="s">
        <v>38</v>
      </c>
      <c r="L6">
        <v>54857</v>
      </c>
      <c r="M6">
        <v>17.34</v>
      </c>
      <c r="N6">
        <v>13.12</v>
      </c>
      <c r="O6">
        <v>0</v>
      </c>
      <c r="P6" t="s">
        <v>26</v>
      </c>
      <c r="Q6" t="s">
        <v>27</v>
      </c>
      <c r="R6">
        <v>87.09</v>
      </c>
      <c r="S6">
        <v>32.68</v>
      </c>
      <c r="T6" t="s">
        <v>28</v>
      </c>
      <c r="U6" t="s">
        <v>28</v>
      </c>
      <c r="V6" t="s">
        <v>30</v>
      </c>
    </row>
    <row r="7" spans="1:22" x14ac:dyDescent="0.25">
      <c r="A7">
        <v>5</v>
      </c>
      <c r="B7" t="str">
        <f>HYPERLINK("https://imapinvasives.natureserve.org/imap/services/page/Presence/1360973.html", "View")</f>
        <v>View</v>
      </c>
      <c r="C7">
        <v>1360973</v>
      </c>
      <c r="D7">
        <v>1378613</v>
      </c>
      <c r="E7" t="str">
        <f>HYPERLINK("http://imap3images.s3-website-us-east-1.amazonaws.com/1378613/p/imap_app_photo_1697596931769.jpg", "View")</f>
        <v>View</v>
      </c>
      <c r="F7" t="s">
        <v>22</v>
      </c>
      <c r="G7" t="s">
        <v>23</v>
      </c>
      <c r="H7">
        <v>57278</v>
      </c>
      <c r="I7" t="str">
        <f>HYPERLINK("https://www.inaturalist.org/taxa/57278-Ailanthus-altissima", "View")</f>
        <v>View</v>
      </c>
      <c r="J7" t="s">
        <v>22</v>
      </c>
      <c r="K7" t="s">
        <v>39</v>
      </c>
      <c r="L7">
        <v>57278</v>
      </c>
      <c r="M7">
        <v>67.39</v>
      </c>
      <c r="N7">
        <v>94.51</v>
      </c>
      <c r="O7">
        <v>1</v>
      </c>
      <c r="P7" t="s">
        <v>40</v>
      </c>
      <c r="Q7" t="s">
        <v>27</v>
      </c>
      <c r="R7">
        <v>87.09</v>
      </c>
      <c r="S7">
        <v>32.68</v>
      </c>
      <c r="T7" t="s">
        <v>29</v>
      </c>
      <c r="U7" t="s">
        <v>29</v>
      </c>
      <c r="V7" t="s">
        <v>41</v>
      </c>
    </row>
    <row r="8" spans="1:22" x14ac:dyDescent="0.25">
      <c r="A8">
        <v>6</v>
      </c>
      <c r="B8" t="str">
        <f>HYPERLINK("https://imapinvasives.natureserve.org/imap/services/page/Presence/1360974.html", "View")</f>
        <v>View</v>
      </c>
      <c r="C8">
        <v>1360974</v>
      </c>
      <c r="D8">
        <v>1378614</v>
      </c>
      <c r="E8" t="str">
        <f>HYPERLINK("http://imap3images.s3-website-us-east-1.amazonaws.com/1378614/p/imap_app_photo_1697596935021.jpg", "View")</f>
        <v>View</v>
      </c>
      <c r="F8" t="s">
        <v>22</v>
      </c>
      <c r="G8" t="s">
        <v>23</v>
      </c>
      <c r="H8">
        <v>57278</v>
      </c>
      <c r="I8" t="str">
        <f>HYPERLINK("https://www.inaturalist.org/taxa/324726-Lycorma-delicatula", "View")</f>
        <v>View</v>
      </c>
      <c r="J8" t="s">
        <v>24</v>
      </c>
      <c r="K8" t="s">
        <v>25</v>
      </c>
      <c r="L8">
        <v>324726</v>
      </c>
      <c r="M8">
        <v>75.55</v>
      </c>
      <c r="N8">
        <v>13.59</v>
      </c>
      <c r="O8">
        <v>0</v>
      </c>
      <c r="P8" t="s">
        <v>26</v>
      </c>
      <c r="Q8" t="s">
        <v>27</v>
      </c>
      <c r="R8">
        <v>87.09</v>
      </c>
      <c r="S8">
        <v>32.68</v>
      </c>
      <c r="T8" t="s">
        <v>28</v>
      </c>
      <c r="U8" t="s">
        <v>29</v>
      </c>
      <c r="V8" t="s">
        <v>30</v>
      </c>
    </row>
    <row r="9" spans="1:22" x14ac:dyDescent="0.25">
      <c r="A9">
        <v>7</v>
      </c>
      <c r="B9" t="str">
        <f>HYPERLINK("https://imapinvasives.natureserve.org/imap/services/page/Presence/1360975.html", "View")</f>
        <v>View</v>
      </c>
      <c r="C9">
        <v>1360975</v>
      </c>
      <c r="D9">
        <v>1378615</v>
      </c>
      <c r="E9" t="str">
        <f>HYPERLINK("http://imap3images.s3-website-us-east-1.amazonaws.com/1378615/p/imap_app_photo_1697596938544.jpg", "View")</f>
        <v>View</v>
      </c>
      <c r="F9" t="s">
        <v>22</v>
      </c>
      <c r="G9" t="s">
        <v>23</v>
      </c>
      <c r="H9">
        <v>57278</v>
      </c>
      <c r="I9" t="str">
        <f>HYPERLINK("https://www.inaturalist.org/taxa/324726-Lycorma-delicatula", "View")</f>
        <v>View</v>
      </c>
      <c r="J9" t="s">
        <v>24</v>
      </c>
      <c r="K9" t="s">
        <v>25</v>
      </c>
      <c r="L9">
        <v>324726</v>
      </c>
      <c r="M9">
        <v>75.55</v>
      </c>
      <c r="N9">
        <v>98.87</v>
      </c>
      <c r="O9">
        <v>0</v>
      </c>
      <c r="P9" t="s">
        <v>26</v>
      </c>
      <c r="Q9" t="s">
        <v>27</v>
      </c>
      <c r="R9">
        <v>87.09</v>
      </c>
      <c r="S9">
        <v>32.68</v>
      </c>
      <c r="T9" t="s">
        <v>29</v>
      </c>
      <c r="U9" t="s">
        <v>29</v>
      </c>
      <c r="V9" t="s">
        <v>30</v>
      </c>
    </row>
    <row r="10" spans="1:22" x14ac:dyDescent="0.25">
      <c r="A10">
        <v>8</v>
      </c>
      <c r="B10" t="str">
        <f>HYPERLINK("https://imapinvasives.natureserve.org/imap/services/page/Presence/1360976.html", "View")</f>
        <v>View</v>
      </c>
      <c r="C10">
        <v>1360976</v>
      </c>
      <c r="D10">
        <v>1378616</v>
      </c>
      <c r="E10" t="str">
        <f>HYPERLINK("http://imap3images.s3-website-us-east-1.amazonaws.com/1378616/p/imap_app_photo_1697596943548.jpg", "View")</f>
        <v>View</v>
      </c>
      <c r="F10" t="s">
        <v>22</v>
      </c>
      <c r="G10" t="s">
        <v>23</v>
      </c>
      <c r="H10">
        <v>57278</v>
      </c>
      <c r="I10" t="str">
        <f>HYPERLINK("https://www.inaturalist.org/taxa/54792-Juglans-cinerea", "View")</f>
        <v>View</v>
      </c>
      <c r="J10" t="s">
        <v>42</v>
      </c>
      <c r="K10" t="s">
        <v>43</v>
      </c>
      <c r="L10">
        <v>54792</v>
      </c>
      <c r="M10">
        <v>14.54</v>
      </c>
      <c r="N10">
        <v>51.39</v>
      </c>
      <c r="O10">
        <v>0</v>
      </c>
      <c r="P10" t="s">
        <v>26</v>
      </c>
      <c r="Q10" t="s">
        <v>27</v>
      </c>
      <c r="R10">
        <v>87.09</v>
      </c>
      <c r="S10">
        <v>32.68</v>
      </c>
      <c r="T10" t="s">
        <v>28</v>
      </c>
      <c r="U10" t="s">
        <v>28</v>
      </c>
      <c r="V10" t="s">
        <v>30</v>
      </c>
    </row>
    <row r="11" spans="1:22" x14ac:dyDescent="0.25">
      <c r="A11">
        <v>9</v>
      </c>
      <c r="B11" t="str">
        <f>HYPERLINK("https://imapinvasives.natureserve.org/imap/services/page/Presence/1360977.html", "View")</f>
        <v>View</v>
      </c>
      <c r="C11">
        <v>1360977</v>
      </c>
      <c r="D11">
        <v>1378617</v>
      </c>
      <c r="E11" t="str">
        <f>HYPERLINK("http://imap3images.s3-website-us-east-1.amazonaws.com/1378617/p/imap_app_photo_1697596947562.jpg", "View")</f>
        <v>View</v>
      </c>
      <c r="F11" t="s">
        <v>22</v>
      </c>
      <c r="G11" t="s">
        <v>23</v>
      </c>
      <c r="H11">
        <v>57278</v>
      </c>
      <c r="I11" t="str">
        <f>HYPERLINK("https://www.inaturalist.org/taxa/57278-Ailanthus-altissima", "View")</f>
        <v>View</v>
      </c>
      <c r="J11" t="s">
        <v>22</v>
      </c>
      <c r="K11" t="s">
        <v>39</v>
      </c>
      <c r="L11">
        <v>57278</v>
      </c>
      <c r="M11">
        <v>67.39</v>
      </c>
      <c r="N11">
        <v>96.9</v>
      </c>
      <c r="O11">
        <v>1</v>
      </c>
      <c r="P11" t="s">
        <v>40</v>
      </c>
      <c r="Q11" t="s">
        <v>27</v>
      </c>
      <c r="R11">
        <v>87.09</v>
      </c>
      <c r="S11">
        <v>32.68</v>
      </c>
      <c r="T11" t="s">
        <v>29</v>
      </c>
      <c r="U11" t="s">
        <v>29</v>
      </c>
      <c r="V11" t="s">
        <v>41</v>
      </c>
    </row>
    <row r="12" spans="1:22" x14ac:dyDescent="0.25">
      <c r="A12">
        <v>10</v>
      </c>
      <c r="B12" t="str">
        <f>HYPERLINK("https://imapinvasives.natureserve.org/imap/services/page/Presence/1360980.html", "View")</f>
        <v>View</v>
      </c>
      <c r="C12">
        <v>1360980</v>
      </c>
      <c r="D12">
        <v>1378620</v>
      </c>
      <c r="E12" t="str">
        <f>HYPERLINK("http://imap3images.s3-website-us-east-1.amazonaws.com/1378620/p/imap_app_photo_1697596953119.jpg", "View")</f>
        <v>View</v>
      </c>
      <c r="F12" t="s">
        <v>22</v>
      </c>
      <c r="G12" t="s">
        <v>23</v>
      </c>
      <c r="H12">
        <v>57278</v>
      </c>
      <c r="I12" t="str">
        <f>HYPERLINK("https://www.inaturalist.org/taxa/57278-Ailanthus-altissima", "View")</f>
        <v>View</v>
      </c>
      <c r="J12" t="s">
        <v>22</v>
      </c>
      <c r="K12" t="s">
        <v>39</v>
      </c>
      <c r="L12">
        <v>57278</v>
      </c>
      <c r="M12">
        <v>67.39</v>
      </c>
      <c r="N12">
        <v>20.07</v>
      </c>
      <c r="O12">
        <v>1</v>
      </c>
      <c r="P12" t="s">
        <v>40</v>
      </c>
      <c r="Q12" t="s">
        <v>27</v>
      </c>
      <c r="R12">
        <v>87.09</v>
      </c>
      <c r="S12">
        <v>32.68</v>
      </c>
      <c r="T12" t="s">
        <v>28</v>
      </c>
      <c r="U12" t="s">
        <v>29</v>
      </c>
      <c r="V12" t="s">
        <v>30</v>
      </c>
    </row>
    <row r="13" spans="1:22" x14ac:dyDescent="0.25">
      <c r="A13">
        <v>11</v>
      </c>
      <c r="B13" t="str">
        <f>HYPERLINK("https://imapinvasives.natureserve.org/imap/services/page/Presence/1288190.html", "View")</f>
        <v>View</v>
      </c>
      <c r="C13">
        <v>1288190</v>
      </c>
      <c r="D13">
        <v>1298141</v>
      </c>
      <c r="E13" t="str">
        <f>HYPERLINK("http://imap3images.s3-website-us-east-1.amazonaws.com/1298141/p/imap_app_photo_1660917366557.jpg", "View")</f>
        <v>View</v>
      </c>
      <c r="F13" t="s">
        <v>22</v>
      </c>
      <c r="G13" t="s">
        <v>23</v>
      </c>
      <c r="H13">
        <v>57278</v>
      </c>
      <c r="I13" t="str">
        <f>HYPERLINK("https://www.inaturalist.org/taxa/57278-Ailanthus-altissima", "View")</f>
        <v>View</v>
      </c>
      <c r="J13" t="s">
        <v>22</v>
      </c>
      <c r="K13" t="s">
        <v>39</v>
      </c>
      <c r="L13">
        <v>57278</v>
      </c>
      <c r="M13">
        <v>86.44</v>
      </c>
      <c r="N13">
        <v>50.48</v>
      </c>
      <c r="O13">
        <v>1</v>
      </c>
      <c r="P13" t="s">
        <v>40</v>
      </c>
      <c r="Q13" t="s">
        <v>27</v>
      </c>
      <c r="R13">
        <v>87.09</v>
      </c>
      <c r="S13">
        <v>32.68</v>
      </c>
      <c r="T13" t="s">
        <v>28</v>
      </c>
      <c r="U13" t="s">
        <v>29</v>
      </c>
      <c r="V13" t="s">
        <v>30</v>
      </c>
    </row>
    <row r="14" spans="1:22" x14ac:dyDescent="0.25">
      <c r="A14">
        <v>12</v>
      </c>
      <c r="B14" t="str">
        <f>HYPERLINK("https://imapinvasives.natureserve.org/imap/services/page/Presence/1227478.html", "View")</f>
        <v>View</v>
      </c>
      <c r="C14">
        <v>1227478</v>
      </c>
      <c r="D14">
        <v>1235565</v>
      </c>
      <c r="E14" t="str">
        <f>HYPERLINK("http://imap3images.s3-website-us-east-1.amazonaws.com/1235565/p/imap_app_photo_1639184351489.jpg", "View")</f>
        <v>View</v>
      </c>
      <c r="F14" t="s">
        <v>22</v>
      </c>
      <c r="G14" t="s">
        <v>23</v>
      </c>
      <c r="H14">
        <v>57278</v>
      </c>
      <c r="I14" t="str">
        <f>HYPERLINK("https://www.inaturalist.org/taxa/47726-Acer-negundo", "View")</f>
        <v>View</v>
      </c>
      <c r="J14" t="s">
        <v>31</v>
      </c>
      <c r="K14" t="s">
        <v>32</v>
      </c>
      <c r="L14">
        <v>47726</v>
      </c>
      <c r="M14">
        <v>34.57</v>
      </c>
      <c r="N14">
        <v>9.23</v>
      </c>
      <c r="O14">
        <v>0</v>
      </c>
      <c r="P14" t="s">
        <v>26</v>
      </c>
      <c r="Q14" t="s">
        <v>27</v>
      </c>
      <c r="R14">
        <v>87.09</v>
      </c>
      <c r="S14">
        <v>32.68</v>
      </c>
      <c r="T14" t="s">
        <v>28</v>
      </c>
      <c r="U14" t="s">
        <v>29</v>
      </c>
      <c r="V14" t="s">
        <v>30</v>
      </c>
    </row>
    <row r="15" spans="1:22" x14ac:dyDescent="0.25">
      <c r="A15">
        <v>13</v>
      </c>
      <c r="B15" t="str">
        <f>HYPERLINK("https://imapinvasives.natureserve.org/imap/services/page/Presence/1288277.html", "View")</f>
        <v>View</v>
      </c>
      <c r="C15">
        <v>1288277</v>
      </c>
      <c r="D15">
        <v>1298228</v>
      </c>
      <c r="E15" t="str">
        <f>HYPERLINK("http://imap3images.s3-website-us-east-1.amazonaws.com/1298228/p/imap_app_photo_1661017507445.jpg", "View")</f>
        <v>View</v>
      </c>
      <c r="F15" t="s">
        <v>22</v>
      </c>
      <c r="G15" t="s">
        <v>23</v>
      </c>
      <c r="H15">
        <v>57278</v>
      </c>
      <c r="I15" t="str">
        <f>HYPERLINK("https://www.inaturalist.org/taxa/324726-Lycorma-delicatula", "View")</f>
        <v>View</v>
      </c>
      <c r="J15" t="s">
        <v>24</v>
      </c>
      <c r="K15" t="s">
        <v>25</v>
      </c>
      <c r="L15">
        <v>324726</v>
      </c>
      <c r="M15">
        <v>95.24</v>
      </c>
      <c r="N15">
        <v>18.73</v>
      </c>
      <c r="O15">
        <v>0</v>
      </c>
      <c r="P15" t="s">
        <v>26</v>
      </c>
      <c r="Q15" t="s">
        <v>27</v>
      </c>
      <c r="R15">
        <v>87.09</v>
      </c>
      <c r="S15">
        <v>32.68</v>
      </c>
      <c r="T15" t="s">
        <v>28</v>
      </c>
      <c r="U15" t="s">
        <v>29</v>
      </c>
      <c r="V15" t="s">
        <v>30</v>
      </c>
    </row>
    <row r="16" spans="1:22" x14ac:dyDescent="0.25">
      <c r="A16">
        <v>14</v>
      </c>
      <c r="B16" t="str">
        <f>HYPERLINK("https://imapinvasives.natureserve.org/imap/services/page/Presence/1182091.html", "View")</f>
        <v>View</v>
      </c>
      <c r="C16">
        <v>1182091</v>
      </c>
      <c r="D16">
        <v>1189980</v>
      </c>
      <c r="E16" t="str">
        <f>HYPERLINK("http://imap3images.s3-website-us-east-1.amazonaws.com/1189980/p/imap_app_photo_1637610940682.jpg", "View")</f>
        <v>View</v>
      </c>
      <c r="F16" t="s">
        <v>22</v>
      </c>
      <c r="G16" t="s">
        <v>23</v>
      </c>
      <c r="H16">
        <v>57278</v>
      </c>
      <c r="I16" t="str">
        <f>HYPERLINK("https://www.inaturalist.org/taxa/49202-Fagus-grandifolia", "View")</f>
        <v>View</v>
      </c>
      <c r="J16" t="s">
        <v>44</v>
      </c>
      <c r="K16" t="s">
        <v>45</v>
      </c>
      <c r="L16">
        <v>49202</v>
      </c>
      <c r="M16">
        <v>27.19</v>
      </c>
      <c r="N16">
        <v>21.28</v>
      </c>
      <c r="O16">
        <v>0</v>
      </c>
      <c r="P16" t="s">
        <v>26</v>
      </c>
      <c r="Q16" t="s">
        <v>27</v>
      </c>
      <c r="R16">
        <v>87.09</v>
      </c>
      <c r="S16">
        <v>32.68</v>
      </c>
      <c r="T16" t="s">
        <v>28</v>
      </c>
      <c r="U16" t="s">
        <v>28</v>
      </c>
      <c r="V16" t="s">
        <v>30</v>
      </c>
    </row>
    <row r="17" spans="1:22" x14ac:dyDescent="0.25">
      <c r="A17">
        <v>15</v>
      </c>
      <c r="B17" t="str">
        <f>HYPERLINK("https://imapinvasives.natureserve.org/imap/services/page/Presence/1182691.html", "View")</f>
        <v>View</v>
      </c>
      <c r="C17">
        <v>1182691</v>
      </c>
      <c r="D17">
        <v>1190656</v>
      </c>
      <c r="E17" t="str">
        <f>HYPERLINK("http://imap3images.s3-website-us-east-1.amazonaws.com/1190656/p/imap_app_photo_1638047336220.jpg", "View")</f>
        <v>View</v>
      </c>
      <c r="F17" t="s">
        <v>22</v>
      </c>
      <c r="G17" t="s">
        <v>23</v>
      </c>
      <c r="H17">
        <v>57278</v>
      </c>
      <c r="I17" t="str">
        <f>HYPERLINK("https://www.inaturalist.org/taxa/285378-Lawsonia-inermis", "View")</f>
        <v>View</v>
      </c>
      <c r="J17" t="s">
        <v>46</v>
      </c>
      <c r="K17" t="s">
        <v>47</v>
      </c>
      <c r="L17">
        <v>285378</v>
      </c>
      <c r="M17">
        <v>0</v>
      </c>
      <c r="N17">
        <v>25.41</v>
      </c>
      <c r="O17">
        <v>0</v>
      </c>
      <c r="P17" t="s">
        <v>26</v>
      </c>
      <c r="Q17" t="s">
        <v>27</v>
      </c>
      <c r="R17">
        <v>87.09</v>
      </c>
      <c r="S17">
        <v>32.68</v>
      </c>
      <c r="T17" t="s">
        <v>28</v>
      </c>
      <c r="U17" t="s">
        <v>28</v>
      </c>
      <c r="V17" t="s">
        <v>30</v>
      </c>
    </row>
    <row r="18" spans="1:22" x14ac:dyDescent="0.25">
      <c r="A18">
        <v>17</v>
      </c>
      <c r="B18" t="str">
        <f>HYPERLINK("https://imapinvasives.natureserve.org/imap/services/page/Presence/1360968.html", "View")</f>
        <v>View</v>
      </c>
      <c r="C18">
        <v>1360968</v>
      </c>
      <c r="D18">
        <v>1378608</v>
      </c>
      <c r="E18" t="str">
        <f>HYPERLINK("http://imap3images.s3-website-us-east-1.amazonaws.com/1378608/p/imap_app_photo_1697596915462.jpg", "View")</f>
        <v>View</v>
      </c>
      <c r="F18" t="s">
        <v>22</v>
      </c>
      <c r="G18" t="s">
        <v>23</v>
      </c>
      <c r="H18">
        <v>57278</v>
      </c>
      <c r="I18" t="str">
        <f>HYPERLINK("https://www.inaturalist.org/taxa/57278-Ailanthus-altissima", "View")</f>
        <v>View</v>
      </c>
      <c r="J18" t="s">
        <v>22</v>
      </c>
      <c r="K18" t="s">
        <v>39</v>
      </c>
      <c r="L18">
        <v>57278</v>
      </c>
      <c r="M18">
        <v>67.39</v>
      </c>
      <c r="N18">
        <v>51.48</v>
      </c>
      <c r="O18">
        <v>1</v>
      </c>
      <c r="P18" t="s">
        <v>40</v>
      </c>
      <c r="Q18" t="s">
        <v>27</v>
      </c>
      <c r="R18">
        <v>87.09</v>
      </c>
      <c r="S18">
        <v>32.68</v>
      </c>
      <c r="T18" t="s">
        <v>28</v>
      </c>
      <c r="U18" t="s">
        <v>29</v>
      </c>
      <c r="V18" t="s">
        <v>30</v>
      </c>
    </row>
    <row r="19" spans="1:22" x14ac:dyDescent="0.25">
      <c r="A19">
        <v>18</v>
      </c>
      <c r="B19" t="str">
        <f>HYPERLINK("https://imapinvasives.natureserve.org/imap/services/page/Presence/1360969.html", "View")</f>
        <v>View</v>
      </c>
      <c r="C19">
        <v>1360969</v>
      </c>
      <c r="D19">
        <v>1378609</v>
      </c>
      <c r="E19" t="str">
        <f>HYPERLINK("http://imap3images.s3-website-us-east-1.amazonaws.com/1378609/p/imap_app_photo_1697596918677.jpg", "View")</f>
        <v>View</v>
      </c>
      <c r="F19" t="s">
        <v>22</v>
      </c>
      <c r="G19" t="s">
        <v>23</v>
      </c>
      <c r="H19">
        <v>57278</v>
      </c>
      <c r="I19" t="str">
        <f>HYPERLINK("https://www.inaturalist.org/taxa/167829-Rhus-typhina", "View")</f>
        <v>View</v>
      </c>
      <c r="J19" t="s">
        <v>48</v>
      </c>
      <c r="K19" t="s">
        <v>49</v>
      </c>
      <c r="L19">
        <v>167829</v>
      </c>
      <c r="M19">
        <v>68.459999999999994</v>
      </c>
      <c r="N19">
        <v>68.989999999999995</v>
      </c>
      <c r="O19">
        <v>0</v>
      </c>
      <c r="P19" t="s">
        <v>26</v>
      </c>
      <c r="Q19" t="s">
        <v>27</v>
      </c>
      <c r="R19">
        <v>87.09</v>
      </c>
      <c r="S19">
        <v>32.68</v>
      </c>
      <c r="T19" t="s">
        <v>28</v>
      </c>
      <c r="U19" t="s">
        <v>29</v>
      </c>
      <c r="V19" t="s">
        <v>30</v>
      </c>
    </row>
    <row r="20" spans="1:22" x14ac:dyDescent="0.25">
      <c r="A20">
        <v>19</v>
      </c>
      <c r="B20" t="str">
        <f>HYPERLINK("https://imapinvasives.natureserve.org/imap/services/page/Presence/1316835.html", "View")</f>
        <v>View</v>
      </c>
      <c r="C20">
        <v>1316835</v>
      </c>
      <c r="D20">
        <v>1327908</v>
      </c>
      <c r="E20" t="str">
        <f>HYPERLINK("http://imap3images.s3-website-us-east-1.amazonaws.com/1327908/p/imap_app_photo_1672843216935.jpg", "View")</f>
        <v>View</v>
      </c>
      <c r="F20" t="s">
        <v>22</v>
      </c>
      <c r="G20" t="s">
        <v>23</v>
      </c>
      <c r="H20">
        <v>57278</v>
      </c>
      <c r="I20" t="str">
        <f>HYPERLINK("https://www.inaturalist.org/taxa/49157-Betula-lenta", "View")</f>
        <v>View</v>
      </c>
      <c r="J20" t="s">
        <v>50</v>
      </c>
      <c r="K20" t="s">
        <v>51</v>
      </c>
      <c r="L20">
        <v>49157</v>
      </c>
      <c r="M20">
        <v>30.09</v>
      </c>
      <c r="N20">
        <v>14.5</v>
      </c>
      <c r="O20">
        <v>0</v>
      </c>
      <c r="P20" t="s">
        <v>26</v>
      </c>
      <c r="Q20" t="s">
        <v>27</v>
      </c>
      <c r="R20">
        <v>87.09</v>
      </c>
      <c r="S20">
        <v>32.68</v>
      </c>
      <c r="T20" t="s">
        <v>28</v>
      </c>
      <c r="U20" t="s">
        <v>28</v>
      </c>
      <c r="V20" t="s">
        <v>30</v>
      </c>
    </row>
    <row r="21" spans="1:22" x14ac:dyDescent="0.25">
      <c r="A21">
        <v>20</v>
      </c>
      <c r="B21" t="str">
        <f>HYPERLINK("https://imapinvasives.natureserve.org/imap/services/page/Presence/1316836.html", "View")</f>
        <v>View</v>
      </c>
      <c r="C21">
        <v>1316836</v>
      </c>
      <c r="D21">
        <v>1327909</v>
      </c>
      <c r="E21" t="str">
        <f>HYPERLINK("http://imap3images.s3-website-us-east-1.amazonaws.com/1327909/p/imap_app_photo_1672843220836.jpg", "View")</f>
        <v>View</v>
      </c>
      <c r="F21" t="s">
        <v>22</v>
      </c>
      <c r="G21" t="s">
        <v>23</v>
      </c>
      <c r="H21">
        <v>57278</v>
      </c>
      <c r="I21" t="str">
        <f>HYPERLINK("https://www.inaturalist.org/taxa/49884-Betula-populifolia", "View")</f>
        <v>View</v>
      </c>
      <c r="J21" t="s">
        <v>52</v>
      </c>
      <c r="K21" t="s">
        <v>53</v>
      </c>
      <c r="L21">
        <v>49884</v>
      </c>
      <c r="M21">
        <v>39.630000000000003</v>
      </c>
      <c r="N21">
        <v>45.02</v>
      </c>
      <c r="O21">
        <v>0</v>
      </c>
      <c r="P21" t="s">
        <v>26</v>
      </c>
      <c r="Q21" t="s">
        <v>27</v>
      </c>
      <c r="R21">
        <v>87.09</v>
      </c>
      <c r="S21">
        <v>32.68</v>
      </c>
      <c r="T21" t="s">
        <v>28</v>
      </c>
      <c r="U21" t="s">
        <v>29</v>
      </c>
      <c r="V21" t="s">
        <v>30</v>
      </c>
    </row>
    <row r="22" spans="1:22" x14ac:dyDescent="0.25">
      <c r="A22">
        <v>21</v>
      </c>
      <c r="B22" t="str">
        <f>HYPERLINK("https://imapinvasives.natureserve.org/imap/services/page/Presence/1316837.html", "View")</f>
        <v>View</v>
      </c>
      <c r="C22">
        <v>1316837</v>
      </c>
      <c r="D22">
        <v>1327910</v>
      </c>
      <c r="E22" t="str">
        <f>HYPERLINK("http://imap3images.s3-website-us-east-1.amazonaws.com/1327910/p/imap_app_photo_1672843413381.jpg", "View")</f>
        <v>View</v>
      </c>
      <c r="F22" t="s">
        <v>22</v>
      </c>
      <c r="G22" t="s">
        <v>23</v>
      </c>
      <c r="H22">
        <v>57278</v>
      </c>
      <c r="I22" t="str">
        <f>HYPERLINK("https://www.inaturalist.org/taxa/54840-Populus-tremuloides", "View")</f>
        <v>View</v>
      </c>
      <c r="J22" t="s">
        <v>54</v>
      </c>
      <c r="K22" t="s">
        <v>55</v>
      </c>
      <c r="L22">
        <v>54840</v>
      </c>
      <c r="M22">
        <v>20.94</v>
      </c>
      <c r="N22">
        <v>11.77</v>
      </c>
      <c r="O22">
        <v>0</v>
      </c>
      <c r="P22" t="s">
        <v>26</v>
      </c>
      <c r="Q22" t="s">
        <v>27</v>
      </c>
      <c r="R22">
        <v>87.09</v>
      </c>
      <c r="S22">
        <v>32.68</v>
      </c>
      <c r="T22" t="s">
        <v>28</v>
      </c>
      <c r="U22" t="s">
        <v>28</v>
      </c>
      <c r="V22" t="s">
        <v>30</v>
      </c>
    </row>
    <row r="23" spans="1:22" x14ac:dyDescent="0.25">
      <c r="A23">
        <v>22</v>
      </c>
      <c r="B23" t="str">
        <f>HYPERLINK("https://imapinvasives.natureserve.org/imap/services/page/Presence/1187847.html", "View")</f>
        <v>View</v>
      </c>
      <c r="C23">
        <v>1187847</v>
      </c>
      <c r="D23">
        <v>1195891</v>
      </c>
      <c r="E23" t="str">
        <f>HYPERLINK("http://imap3images.s3-website-us-east-1.amazonaws.com/1195891/p/imap_app_photo_1638453029275.jpg", "View")</f>
        <v>View</v>
      </c>
      <c r="F23" t="s">
        <v>22</v>
      </c>
      <c r="G23" t="s">
        <v>23</v>
      </c>
      <c r="H23">
        <v>57278</v>
      </c>
      <c r="I23" t="str">
        <f>HYPERLINK("https://www.inaturalist.org/taxa/52543-Acer-saccharum", "View")</f>
        <v>View</v>
      </c>
      <c r="J23" t="s">
        <v>33</v>
      </c>
      <c r="K23" t="s">
        <v>34</v>
      </c>
      <c r="L23">
        <v>52543</v>
      </c>
      <c r="M23">
        <v>10.53</v>
      </c>
      <c r="N23">
        <v>24.84</v>
      </c>
      <c r="O23">
        <v>0</v>
      </c>
      <c r="P23" t="s">
        <v>26</v>
      </c>
      <c r="Q23" t="s">
        <v>27</v>
      </c>
      <c r="R23">
        <v>87.09</v>
      </c>
      <c r="S23">
        <v>32.68</v>
      </c>
      <c r="T23" t="s">
        <v>28</v>
      </c>
      <c r="U23" t="s">
        <v>28</v>
      </c>
      <c r="V23" t="s">
        <v>30</v>
      </c>
    </row>
    <row r="24" spans="1:22" x14ac:dyDescent="0.25">
      <c r="A24">
        <v>23</v>
      </c>
      <c r="B24" t="str">
        <f>HYPERLINK("https://imapinvasives.natureserve.org/imap/services/page/Presence/1254102.html", "View")</f>
        <v>View</v>
      </c>
      <c r="C24">
        <v>1254102</v>
      </c>
      <c r="D24">
        <v>1262674</v>
      </c>
      <c r="E24" t="str">
        <f>HYPERLINK("http://imap3images.s3-website-us-east-1.amazonaws.com/1262674/p/imap_app_photo_1646265081084.jpg", "View")</f>
        <v>View</v>
      </c>
      <c r="F24" t="s">
        <v>22</v>
      </c>
      <c r="G24" t="s">
        <v>23</v>
      </c>
      <c r="H24">
        <v>57278</v>
      </c>
      <c r="I24" t="str">
        <f>HYPERLINK("https://www.inaturalist.org/taxa/469472-Malus-domestica", "View")</f>
        <v>View</v>
      </c>
      <c r="J24" t="s">
        <v>56</v>
      </c>
      <c r="K24" t="s">
        <v>57</v>
      </c>
      <c r="L24">
        <v>469472</v>
      </c>
      <c r="M24">
        <v>8.66</v>
      </c>
      <c r="N24">
        <v>18.100000000000001</v>
      </c>
      <c r="O24">
        <v>0</v>
      </c>
      <c r="P24" t="s">
        <v>26</v>
      </c>
      <c r="Q24" t="s">
        <v>27</v>
      </c>
      <c r="R24">
        <v>87.09</v>
      </c>
      <c r="S24">
        <v>32.68</v>
      </c>
      <c r="T24" t="s">
        <v>28</v>
      </c>
      <c r="U24" t="s">
        <v>28</v>
      </c>
      <c r="V24" t="s">
        <v>30</v>
      </c>
    </row>
    <row r="25" spans="1:22" x14ac:dyDescent="0.25">
      <c r="A25">
        <v>24</v>
      </c>
      <c r="B25" t="str">
        <f>HYPERLINK("https://imapinvasives.natureserve.org/imap/services/page/Presence/1254103.html", "View")</f>
        <v>View</v>
      </c>
      <c r="C25">
        <v>1254103</v>
      </c>
      <c r="D25">
        <v>1262675</v>
      </c>
      <c r="E25" t="str">
        <f>HYPERLINK("http://imap3images.s3-website-us-east-1.amazonaws.com/1262675/p/imap_app_photo_1646265089295.jpg", "View")</f>
        <v>View</v>
      </c>
      <c r="F25" t="s">
        <v>22</v>
      </c>
      <c r="G25" t="s">
        <v>23</v>
      </c>
      <c r="H25">
        <v>57278</v>
      </c>
      <c r="I25" t="str">
        <f>HYPERLINK("https://www.inaturalist.org/taxa/64237-Phragmites-australis", "View")</f>
        <v>View</v>
      </c>
      <c r="J25" t="s">
        <v>58</v>
      </c>
      <c r="K25" t="s">
        <v>59</v>
      </c>
      <c r="L25">
        <v>64237</v>
      </c>
      <c r="M25">
        <v>48.12</v>
      </c>
      <c r="N25">
        <v>19.86</v>
      </c>
      <c r="O25">
        <v>0</v>
      </c>
      <c r="P25" t="s">
        <v>26</v>
      </c>
      <c r="Q25" t="s">
        <v>27</v>
      </c>
      <c r="R25">
        <v>87.09</v>
      </c>
      <c r="S25">
        <v>32.68</v>
      </c>
      <c r="T25" t="s">
        <v>28</v>
      </c>
      <c r="U25" t="s">
        <v>29</v>
      </c>
      <c r="V25" t="s">
        <v>30</v>
      </c>
    </row>
    <row r="26" spans="1:22" x14ac:dyDescent="0.25">
      <c r="A26">
        <v>25</v>
      </c>
      <c r="B26" t="str">
        <f>HYPERLINK("https://imapinvasives.natureserve.org/imap/services/page/Presence/1360985.html", "View")</f>
        <v>View</v>
      </c>
      <c r="C26">
        <v>1360985</v>
      </c>
      <c r="D26">
        <v>1378625</v>
      </c>
      <c r="E26" t="str">
        <f>HYPERLINK("http://imap3images.s3-website-us-east-1.amazonaws.com/1378625/p/imap_app_photo_1697596969490.jpg", "View")</f>
        <v>View</v>
      </c>
      <c r="F26" t="s">
        <v>22</v>
      </c>
      <c r="G26" t="s">
        <v>23</v>
      </c>
      <c r="H26">
        <v>57278</v>
      </c>
      <c r="I26" t="str">
        <f>HYPERLINK("https://www.inaturalist.org/taxa/324726-Lycorma-delicatula", "View")</f>
        <v>View</v>
      </c>
      <c r="J26" t="s">
        <v>24</v>
      </c>
      <c r="K26" t="s">
        <v>25</v>
      </c>
      <c r="L26">
        <v>324726</v>
      </c>
      <c r="M26">
        <v>75.55</v>
      </c>
      <c r="N26">
        <v>99.96</v>
      </c>
      <c r="O26">
        <v>0</v>
      </c>
      <c r="P26" t="s">
        <v>26</v>
      </c>
      <c r="Q26" t="s">
        <v>27</v>
      </c>
      <c r="R26">
        <v>87.09</v>
      </c>
      <c r="S26">
        <v>32.68</v>
      </c>
      <c r="T26" t="s">
        <v>29</v>
      </c>
      <c r="U26" t="s">
        <v>29</v>
      </c>
      <c r="V26" t="s">
        <v>30</v>
      </c>
    </row>
    <row r="27" spans="1:22" x14ac:dyDescent="0.25">
      <c r="A27">
        <v>26</v>
      </c>
      <c r="B27" t="str">
        <f>HYPERLINK("https://imapinvasives.natureserve.org/imap/services/page/Presence/1290943.html", "View")</f>
        <v>View</v>
      </c>
      <c r="C27">
        <v>1290943</v>
      </c>
      <c r="D27">
        <v>1301138</v>
      </c>
      <c r="E27" t="str">
        <f>HYPERLINK("http://imap3images.s3-website-us-east-1.amazonaws.com/1301138/p/imap_app_photo_1662049505713.jpg", "View")</f>
        <v>View</v>
      </c>
      <c r="F27" t="s">
        <v>22</v>
      </c>
      <c r="G27" t="s">
        <v>23</v>
      </c>
      <c r="H27">
        <v>57278</v>
      </c>
      <c r="I27" t="str">
        <f>HYPERLINK("https://www.inaturalist.org/taxa/57278-Ailanthus-altissima", "View")</f>
        <v>View</v>
      </c>
      <c r="J27" t="s">
        <v>22</v>
      </c>
      <c r="K27" t="s">
        <v>39</v>
      </c>
      <c r="L27">
        <v>57278</v>
      </c>
      <c r="M27">
        <v>88.91</v>
      </c>
      <c r="N27">
        <v>15.59</v>
      </c>
      <c r="O27">
        <v>1</v>
      </c>
      <c r="P27" t="s">
        <v>40</v>
      </c>
      <c r="Q27" t="s">
        <v>27</v>
      </c>
      <c r="R27">
        <v>87.09</v>
      </c>
      <c r="S27">
        <v>32.68</v>
      </c>
      <c r="T27" t="s">
        <v>28</v>
      </c>
      <c r="U27" t="s">
        <v>29</v>
      </c>
      <c r="V27" t="s">
        <v>30</v>
      </c>
    </row>
    <row r="28" spans="1:22" x14ac:dyDescent="0.25">
      <c r="A28">
        <v>27</v>
      </c>
      <c r="B28" t="str">
        <f>HYPERLINK("https://imapinvasives.natureserve.org/imap/services/page/Presence/1290944.html", "View")</f>
        <v>View</v>
      </c>
      <c r="C28">
        <v>1290944</v>
      </c>
      <c r="D28">
        <v>1301139</v>
      </c>
      <c r="E28" t="str">
        <f>HYPERLINK("http://imap3images.s3-website-us-east-1.amazonaws.com/1301139/p/imap_app_photo_1662049514067.jpg", "View")</f>
        <v>View</v>
      </c>
      <c r="F28" t="s">
        <v>22</v>
      </c>
      <c r="G28" t="s">
        <v>23</v>
      </c>
      <c r="H28">
        <v>57278</v>
      </c>
      <c r="I28" t="str">
        <f>HYPERLINK("https://www.inaturalist.org/taxa/54504-Juglans-nigra", "View")</f>
        <v>View</v>
      </c>
      <c r="J28" t="s">
        <v>60</v>
      </c>
      <c r="K28" t="s">
        <v>61</v>
      </c>
      <c r="L28">
        <v>54504</v>
      </c>
      <c r="M28">
        <v>84.69</v>
      </c>
      <c r="N28">
        <v>53.12</v>
      </c>
      <c r="O28">
        <v>0</v>
      </c>
      <c r="P28" t="s">
        <v>26</v>
      </c>
      <c r="Q28" t="s">
        <v>27</v>
      </c>
      <c r="R28">
        <v>87.09</v>
      </c>
      <c r="S28">
        <v>32.68</v>
      </c>
      <c r="T28" t="s">
        <v>28</v>
      </c>
      <c r="U28" t="s">
        <v>29</v>
      </c>
      <c r="V28" t="s">
        <v>30</v>
      </c>
    </row>
    <row r="29" spans="1:22" x14ac:dyDescent="0.25">
      <c r="A29">
        <v>28</v>
      </c>
      <c r="B29" t="str">
        <f>HYPERLINK("https://imapinvasives.natureserve.org/imap/services/page/Presence/1290945.html", "View")</f>
        <v>View</v>
      </c>
      <c r="C29">
        <v>1290945</v>
      </c>
      <c r="D29">
        <v>1301140</v>
      </c>
      <c r="E29" t="str">
        <f>HYPERLINK("http://imap3images.s3-website-us-east-1.amazonaws.com/1301140/p/imap_app_photo_1662049523020.jpg", "View")</f>
        <v>View</v>
      </c>
      <c r="F29" t="s">
        <v>22</v>
      </c>
      <c r="G29" t="s">
        <v>23</v>
      </c>
      <c r="H29">
        <v>57278</v>
      </c>
      <c r="I29" t="str">
        <f>HYPERLINK("https://www.inaturalist.org/taxa/54504-Juglans-nigra", "View")</f>
        <v>View</v>
      </c>
      <c r="J29" t="s">
        <v>60</v>
      </c>
      <c r="K29" t="s">
        <v>61</v>
      </c>
      <c r="L29">
        <v>54504</v>
      </c>
      <c r="M29">
        <v>84.69</v>
      </c>
      <c r="N29">
        <v>38.08</v>
      </c>
      <c r="O29">
        <v>0</v>
      </c>
      <c r="P29" t="s">
        <v>26</v>
      </c>
      <c r="Q29" t="s">
        <v>27</v>
      </c>
      <c r="R29">
        <v>87.09</v>
      </c>
      <c r="S29">
        <v>32.68</v>
      </c>
      <c r="T29" t="s">
        <v>28</v>
      </c>
      <c r="U29" t="s">
        <v>29</v>
      </c>
      <c r="V29" t="s">
        <v>30</v>
      </c>
    </row>
    <row r="30" spans="1:22" x14ac:dyDescent="0.25">
      <c r="A30">
        <v>29</v>
      </c>
      <c r="B30" t="str">
        <f>HYPERLINK("https://imapinvasives.natureserve.org/imap/services/page/Presence/1290946.html", "View")</f>
        <v>View</v>
      </c>
      <c r="C30">
        <v>1290946</v>
      </c>
      <c r="D30">
        <v>1301141</v>
      </c>
      <c r="E30" t="str">
        <f>HYPERLINK("http://imap3images.s3-website-us-east-1.amazonaws.com/1301141/p/imap_app_photo_1662049531330.jpg", "View")</f>
        <v>View</v>
      </c>
      <c r="F30" t="s">
        <v>22</v>
      </c>
      <c r="G30" t="s">
        <v>23</v>
      </c>
      <c r="H30">
        <v>57278</v>
      </c>
      <c r="I30" t="str">
        <f>HYPERLINK("https://www.inaturalist.org/taxa/47726-Acer-negundo", "View")</f>
        <v>View</v>
      </c>
      <c r="J30" t="s">
        <v>31</v>
      </c>
      <c r="K30" t="s">
        <v>32</v>
      </c>
      <c r="L30">
        <v>47726</v>
      </c>
      <c r="M30">
        <v>76.94</v>
      </c>
      <c r="N30">
        <v>2.73</v>
      </c>
      <c r="O30">
        <v>0</v>
      </c>
      <c r="P30" t="s">
        <v>26</v>
      </c>
      <c r="Q30" t="s">
        <v>27</v>
      </c>
      <c r="R30">
        <v>87.09</v>
      </c>
      <c r="S30">
        <v>32.68</v>
      </c>
      <c r="T30" t="s">
        <v>28</v>
      </c>
      <c r="U30" t="s">
        <v>29</v>
      </c>
      <c r="V30" t="s">
        <v>30</v>
      </c>
    </row>
    <row r="31" spans="1:22" x14ac:dyDescent="0.25">
      <c r="A31">
        <v>30</v>
      </c>
      <c r="B31" t="str">
        <f>HYPERLINK("https://imapinvasives.natureserve.org/imap/services/page/Presence/1290947.html", "View")</f>
        <v>View</v>
      </c>
      <c r="C31">
        <v>1290947</v>
      </c>
      <c r="D31">
        <v>1301142</v>
      </c>
      <c r="E31" t="str">
        <f>HYPERLINK("http://imap3images.s3-website-us-east-1.amazonaws.com/1301142/p/imap_app_photo_1662049539516.jpg", "View")</f>
        <v>View</v>
      </c>
      <c r="F31" t="s">
        <v>22</v>
      </c>
      <c r="G31" t="s">
        <v>23</v>
      </c>
      <c r="H31">
        <v>57278</v>
      </c>
      <c r="I31" t="str">
        <f>HYPERLINK("https://www.inaturalist.org/taxa/57278-Ailanthus-altissima", "View")</f>
        <v>View</v>
      </c>
      <c r="J31" t="s">
        <v>22</v>
      </c>
      <c r="K31" t="s">
        <v>39</v>
      </c>
      <c r="L31">
        <v>57278</v>
      </c>
      <c r="M31">
        <v>88.91</v>
      </c>
      <c r="N31">
        <v>55.8</v>
      </c>
      <c r="O31">
        <v>1</v>
      </c>
      <c r="P31" t="s">
        <v>40</v>
      </c>
      <c r="Q31" t="s">
        <v>27</v>
      </c>
      <c r="R31">
        <v>87.09</v>
      </c>
      <c r="S31">
        <v>32.68</v>
      </c>
      <c r="T31" t="s">
        <v>28</v>
      </c>
      <c r="U31" t="s">
        <v>29</v>
      </c>
      <c r="V31" t="s">
        <v>30</v>
      </c>
    </row>
    <row r="32" spans="1:22" x14ac:dyDescent="0.25">
      <c r="A32">
        <v>31</v>
      </c>
      <c r="B32" t="str">
        <f>HYPERLINK("https://imapinvasives.natureserve.org/imap/services/page/Presence/1290948.html", "View")</f>
        <v>View</v>
      </c>
      <c r="C32">
        <v>1290948</v>
      </c>
      <c r="D32">
        <v>1301143</v>
      </c>
      <c r="E32" t="str">
        <f>HYPERLINK("http://imap3images.s3-website-us-east-1.amazonaws.com/1301143/p/imap_app_photo_1662049547525.jpg", "View")</f>
        <v>View</v>
      </c>
      <c r="F32" t="s">
        <v>22</v>
      </c>
      <c r="G32" t="s">
        <v>23</v>
      </c>
      <c r="H32">
        <v>57278</v>
      </c>
      <c r="I32" t="str">
        <f>HYPERLINK("https://www.inaturalist.org/taxa/57278-Ailanthus-altissima", "View")</f>
        <v>View</v>
      </c>
      <c r="J32" t="s">
        <v>22</v>
      </c>
      <c r="K32" t="s">
        <v>39</v>
      </c>
      <c r="L32">
        <v>57278</v>
      </c>
      <c r="M32">
        <v>88.91</v>
      </c>
      <c r="N32">
        <v>44.48</v>
      </c>
      <c r="O32">
        <v>1</v>
      </c>
      <c r="P32" t="s">
        <v>40</v>
      </c>
      <c r="Q32" t="s">
        <v>27</v>
      </c>
      <c r="R32">
        <v>87.09</v>
      </c>
      <c r="S32">
        <v>32.68</v>
      </c>
      <c r="T32" t="s">
        <v>28</v>
      </c>
      <c r="U32" t="s">
        <v>29</v>
      </c>
      <c r="V32" t="s">
        <v>30</v>
      </c>
    </row>
    <row r="33" spans="1:22" x14ac:dyDescent="0.25">
      <c r="A33">
        <v>32</v>
      </c>
      <c r="B33" t="str">
        <f>HYPERLINK("https://imapinvasives.natureserve.org/imap/services/page/Presence/1290949.html", "View")</f>
        <v>View</v>
      </c>
      <c r="C33">
        <v>1290949</v>
      </c>
      <c r="D33">
        <v>1301144</v>
      </c>
      <c r="E33" t="str">
        <f>HYPERLINK("http://imap3images.s3-website-us-east-1.amazonaws.com/1301144/p/imap_app_photo_1662049555597.jpg", "View")</f>
        <v>View</v>
      </c>
      <c r="F33" t="s">
        <v>22</v>
      </c>
      <c r="G33" t="s">
        <v>23</v>
      </c>
      <c r="H33">
        <v>57278</v>
      </c>
      <c r="I33" t="str">
        <f>HYPERLINK("https://www.inaturalist.org/taxa/54792-Juglans-cinerea", "View")</f>
        <v>View</v>
      </c>
      <c r="J33" t="s">
        <v>42</v>
      </c>
      <c r="K33" t="s">
        <v>43</v>
      </c>
      <c r="L33">
        <v>54792</v>
      </c>
      <c r="M33">
        <v>13.61</v>
      </c>
      <c r="N33">
        <v>43.94</v>
      </c>
      <c r="O33">
        <v>0</v>
      </c>
      <c r="P33" t="s">
        <v>26</v>
      </c>
      <c r="Q33" t="s">
        <v>27</v>
      </c>
      <c r="R33">
        <v>87.09</v>
      </c>
      <c r="S33">
        <v>32.68</v>
      </c>
      <c r="T33" t="s">
        <v>28</v>
      </c>
      <c r="U33" t="s">
        <v>28</v>
      </c>
      <c r="V33" t="s">
        <v>30</v>
      </c>
    </row>
    <row r="34" spans="1:22" x14ac:dyDescent="0.25">
      <c r="A34">
        <v>33</v>
      </c>
      <c r="B34" t="str">
        <f>HYPERLINK("https://imapinvasives.natureserve.org/imap/services/page/Presence/1290950.html", "View")</f>
        <v>View</v>
      </c>
      <c r="C34">
        <v>1290950</v>
      </c>
      <c r="D34">
        <v>1301145</v>
      </c>
      <c r="E34" t="str">
        <f>HYPERLINK("http://imap3images.s3-website-us-east-1.amazonaws.com/1301145/p/imap_app_photo_1662049562874.jpg", "View")</f>
        <v>View</v>
      </c>
      <c r="F34" t="s">
        <v>22</v>
      </c>
      <c r="G34" t="s">
        <v>23</v>
      </c>
      <c r="H34">
        <v>57278</v>
      </c>
      <c r="I34" t="str">
        <f>HYPERLINK("https://www.inaturalist.org/taxa/57278-Ailanthus-altissima", "View")</f>
        <v>View</v>
      </c>
      <c r="J34" t="s">
        <v>22</v>
      </c>
      <c r="K34" t="s">
        <v>39</v>
      </c>
      <c r="L34">
        <v>57278</v>
      </c>
      <c r="M34">
        <v>88.91</v>
      </c>
      <c r="N34">
        <v>51.46</v>
      </c>
      <c r="O34">
        <v>1</v>
      </c>
      <c r="P34" t="s">
        <v>40</v>
      </c>
      <c r="Q34" t="s">
        <v>27</v>
      </c>
      <c r="R34">
        <v>87.09</v>
      </c>
      <c r="S34">
        <v>32.68</v>
      </c>
      <c r="T34" t="s">
        <v>28</v>
      </c>
      <c r="U34" t="s">
        <v>29</v>
      </c>
      <c r="V34" t="s">
        <v>30</v>
      </c>
    </row>
    <row r="35" spans="1:22" x14ac:dyDescent="0.25">
      <c r="A35">
        <v>34</v>
      </c>
      <c r="B35" t="str">
        <f>HYPERLINK("https://imapinvasives.natureserve.org/imap/services/page/Presence/1290951.html", "View")</f>
        <v>View</v>
      </c>
      <c r="C35">
        <v>1290951</v>
      </c>
      <c r="D35">
        <v>1301146</v>
      </c>
      <c r="E35" t="str">
        <f>HYPERLINK("http://imap3images.s3-website-us-east-1.amazonaws.com/1301146/p/imap_app_photo_1662049571285.jpg", "View")</f>
        <v>View</v>
      </c>
      <c r="F35" t="s">
        <v>22</v>
      </c>
      <c r="G35" t="s">
        <v>23</v>
      </c>
      <c r="H35">
        <v>57278</v>
      </c>
      <c r="I35" t="str">
        <f>HYPERLINK("https://www.inaturalist.org/taxa/54227-Fagus-sylvatica", "View")</f>
        <v>View</v>
      </c>
      <c r="J35" t="s">
        <v>62</v>
      </c>
      <c r="K35" t="s">
        <v>63</v>
      </c>
      <c r="L35">
        <v>54227</v>
      </c>
      <c r="M35">
        <v>44.05</v>
      </c>
      <c r="N35">
        <v>6.79</v>
      </c>
      <c r="O35">
        <v>0</v>
      </c>
      <c r="P35" t="s">
        <v>26</v>
      </c>
      <c r="Q35" t="s">
        <v>27</v>
      </c>
      <c r="R35">
        <v>87.09</v>
      </c>
      <c r="S35">
        <v>32.68</v>
      </c>
      <c r="T35" t="s">
        <v>28</v>
      </c>
      <c r="U35" t="s">
        <v>29</v>
      </c>
      <c r="V35" t="s">
        <v>30</v>
      </c>
    </row>
    <row r="36" spans="1:22" x14ac:dyDescent="0.25">
      <c r="A36">
        <v>35</v>
      </c>
      <c r="B36" t="str">
        <f>HYPERLINK("https://imapinvasives.natureserve.org/imap/services/page/Presence/1290952.html", "View")</f>
        <v>View</v>
      </c>
      <c r="C36">
        <v>1290952</v>
      </c>
      <c r="D36">
        <v>1301147</v>
      </c>
      <c r="E36" t="str">
        <f>HYPERLINK("http://imap3images.s3-website-us-east-1.amazonaws.com/1301147/p/imap_app_photo_1662049579370.jpg", "View")</f>
        <v>View</v>
      </c>
      <c r="F36" t="s">
        <v>22</v>
      </c>
      <c r="G36" t="s">
        <v>23</v>
      </c>
      <c r="H36">
        <v>57278</v>
      </c>
      <c r="I36" t="str">
        <f>HYPERLINK("https://www.inaturalist.org/taxa/42223-Odocoileus-virginianus", "View")</f>
        <v>View</v>
      </c>
      <c r="J36" t="s">
        <v>64</v>
      </c>
      <c r="K36" t="s">
        <v>65</v>
      </c>
      <c r="L36">
        <v>42223</v>
      </c>
      <c r="M36">
        <v>83.79</v>
      </c>
      <c r="N36">
        <v>41.08</v>
      </c>
      <c r="O36">
        <v>0</v>
      </c>
      <c r="P36" t="s">
        <v>26</v>
      </c>
      <c r="Q36" t="s">
        <v>27</v>
      </c>
      <c r="R36">
        <v>87.09</v>
      </c>
      <c r="S36">
        <v>32.68</v>
      </c>
      <c r="T36" t="s">
        <v>28</v>
      </c>
      <c r="U36" t="s">
        <v>29</v>
      </c>
      <c r="V36" t="s">
        <v>30</v>
      </c>
    </row>
    <row r="37" spans="1:22" x14ac:dyDescent="0.25">
      <c r="A37">
        <v>36</v>
      </c>
      <c r="B37" t="str">
        <f>HYPERLINK("https://imapinvasives.natureserve.org/imap/services/page/Presence/1290953.html", "View")</f>
        <v>View</v>
      </c>
      <c r="C37">
        <v>1290953</v>
      </c>
      <c r="D37">
        <v>1301148</v>
      </c>
      <c r="E37" t="str">
        <f>HYPERLINK("http://imap3images.s3-website-us-east-1.amazonaws.com/1301148/p/imap_app_photo_1662049587650.jpg", "View")</f>
        <v>View</v>
      </c>
      <c r="F37" t="s">
        <v>22</v>
      </c>
      <c r="G37" t="s">
        <v>23</v>
      </c>
      <c r="H37">
        <v>57278</v>
      </c>
      <c r="I37" t="str">
        <f>HYPERLINK("https://www.inaturalist.org/taxa/49005-Quercus-rubra", "View")</f>
        <v>View</v>
      </c>
      <c r="J37" t="s">
        <v>66</v>
      </c>
      <c r="K37" t="s">
        <v>67</v>
      </c>
      <c r="L37">
        <v>49005</v>
      </c>
      <c r="M37">
        <v>67.17</v>
      </c>
      <c r="N37">
        <v>18.53</v>
      </c>
      <c r="O37">
        <v>0</v>
      </c>
      <c r="P37" t="s">
        <v>26</v>
      </c>
      <c r="Q37" t="s">
        <v>27</v>
      </c>
      <c r="R37">
        <v>87.09</v>
      </c>
      <c r="S37">
        <v>32.68</v>
      </c>
      <c r="T37" t="s">
        <v>28</v>
      </c>
      <c r="U37" t="s">
        <v>29</v>
      </c>
      <c r="V37" t="s">
        <v>30</v>
      </c>
    </row>
    <row r="38" spans="1:22" x14ac:dyDescent="0.25">
      <c r="A38">
        <v>37</v>
      </c>
      <c r="B38" t="str">
        <f>HYPERLINK("https://imapinvasives.natureserve.org/imap/services/page/Presence/1290954.html", "View")</f>
        <v>View</v>
      </c>
      <c r="C38">
        <v>1290954</v>
      </c>
      <c r="D38">
        <v>1301149</v>
      </c>
      <c r="E38" t="str">
        <f>HYPERLINK("http://imap3images.s3-website-us-east-1.amazonaws.com/1301149/p/imap_app_photo_1662049595045.jpg", "View")</f>
        <v>View</v>
      </c>
      <c r="F38" t="s">
        <v>22</v>
      </c>
      <c r="G38" t="s">
        <v>23</v>
      </c>
      <c r="H38">
        <v>57278</v>
      </c>
      <c r="I38" t="str">
        <f>HYPERLINK("https://www.inaturalist.org/taxa/56088-Robinia-pseudoacacia", "View")</f>
        <v>View</v>
      </c>
      <c r="J38" t="s">
        <v>68</v>
      </c>
      <c r="K38" t="s">
        <v>69</v>
      </c>
      <c r="L38">
        <v>56088</v>
      </c>
      <c r="M38">
        <v>87.88</v>
      </c>
      <c r="N38">
        <v>32.409999999999997</v>
      </c>
      <c r="O38">
        <v>0</v>
      </c>
      <c r="P38" t="s">
        <v>26</v>
      </c>
      <c r="Q38" t="s">
        <v>27</v>
      </c>
      <c r="R38">
        <v>87.09</v>
      </c>
      <c r="S38">
        <v>32.68</v>
      </c>
      <c r="T38" t="s">
        <v>28</v>
      </c>
      <c r="U38" t="s">
        <v>29</v>
      </c>
      <c r="V38" t="s">
        <v>30</v>
      </c>
    </row>
    <row r="39" spans="1:22" x14ac:dyDescent="0.25">
      <c r="A39">
        <v>38</v>
      </c>
      <c r="B39" t="str">
        <f>HYPERLINK("https://imapinvasives.natureserve.org/imap/services/page/Presence/1291325.html", "View")</f>
        <v>View</v>
      </c>
      <c r="C39">
        <v>1291325</v>
      </c>
      <c r="D39">
        <v>1301520</v>
      </c>
      <c r="E39" t="str">
        <f>HYPERLINK("http://imap3images.s3-website-us-east-1.amazonaws.com/1301520/p/imap_app_photo_1662124393755.jpg", "View")</f>
        <v>View</v>
      </c>
      <c r="F39" t="s">
        <v>22</v>
      </c>
      <c r="G39" t="s">
        <v>23</v>
      </c>
      <c r="H39">
        <v>57278</v>
      </c>
      <c r="I39" t="str">
        <f>HYPERLINK("https://www.inaturalist.org/taxa/117430-Cladrastis-kentukea", "View")</f>
        <v>View</v>
      </c>
      <c r="J39" t="s">
        <v>70</v>
      </c>
      <c r="K39" t="s">
        <v>71</v>
      </c>
      <c r="L39">
        <v>117430</v>
      </c>
      <c r="M39">
        <v>37.26</v>
      </c>
      <c r="N39">
        <v>26.64</v>
      </c>
      <c r="O39">
        <v>0</v>
      </c>
      <c r="P39" t="s">
        <v>26</v>
      </c>
      <c r="Q39" t="s">
        <v>27</v>
      </c>
      <c r="R39">
        <v>87.09</v>
      </c>
      <c r="S39">
        <v>32.68</v>
      </c>
      <c r="T39" t="s">
        <v>28</v>
      </c>
      <c r="U39" t="s">
        <v>29</v>
      </c>
      <c r="V39" t="s">
        <v>30</v>
      </c>
    </row>
    <row r="40" spans="1:22" x14ac:dyDescent="0.25">
      <c r="A40">
        <v>39</v>
      </c>
      <c r="B40" t="str">
        <f>HYPERLINK("https://imapinvasives.natureserve.org/imap/services/page/Presence/1328332.html", "View")</f>
        <v>View</v>
      </c>
      <c r="C40">
        <v>1328332</v>
      </c>
      <c r="D40">
        <v>1341488</v>
      </c>
      <c r="E40" t="str">
        <f>HYPERLINK("http://imap3images.s3-website-us-east-1.amazonaws.com/1341488/p/imap_app_photo_1683574473676.jpg", "View")</f>
        <v>View</v>
      </c>
      <c r="F40" t="s">
        <v>22</v>
      </c>
      <c r="G40" t="s">
        <v>23</v>
      </c>
      <c r="H40">
        <v>57278</v>
      </c>
      <c r="I40" t="str">
        <f>HYPERLINK("https://www.inaturalist.org/taxa/57278-Ailanthus-altissima", "View")</f>
        <v>View</v>
      </c>
      <c r="J40" t="s">
        <v>22</v>
      </c>
      <c r="K40" t="s">
        <v>39</v>
      </c>
      <c r="L40">
        <v>57278</v>
      </c>
      <c r="M40">
        <v>56.98</v>
      </c>
      <c r="N40">
        <v>33.71</v>
      </c>
      <c r="O40">
        <v>1</v>
      </c>
      <c r="P40" t="s">
        <v>40</v>
      </c>
      <c r="Q40" t="s">
        <v>27</v>
      </c>
      <c r="R40">
        <v>87.09</v>
      </c>
      <c r="S40">
        <v>32.68</v>
      </c>
      <c r="T40" t="s">
        <v>28</v>
      </c>
      <c r="U40" t="s">
        <v>29</v>
      </c>
      <c r="V40" t="s">
        <v>30</v>
      </c>
    </row>
    <row r="41" spans="1:22" x14ac:dyDescent="0.25">
      <c r="A41">
        <v>40</v>
      </c>
      <c r="B41" t="str">
        <f>HYPERLINK("https://imapinvasives.natureserve.org/imap/services/page/Presence/1328333.html", "View")</f>
        <v>View</v>
      </c>
      <c r="C41">
        <v>1328333</v>
      </c>
      <c r="D41">
        <v>1341489</v>
      </c>
      <c r="E41" t="str">
        <f>HYPERLINK("http://imap3images.s3-website-us-east-1.amazonaws.com/1341489/p/imap_app_photo_1683574477604.jpg", "View")</f>
        <v>View</v>
      </c>
      <c r="F41" t="s">
        <v>22</v>
      </c>
      <c r="G41" t="s">
        <v>23</v>
      </c>
      <c r="H41">
        <v>57278</v>
      </c>
      <c r="I41" t="str">
        <f>HYPERLINK("https://www.inaturalist.org/taxa/57278-Ailanthus-altissima", "View")</f>
        <v>View</v>
      </c>
      <c r="J41" t="s">
        <v>22</v>
      </c>
      <c r="K41" t="s">
        <v>39</v>
      </c>
      <c r="L41">
        <v>57278</v>
      </c>
      <c r="M41">
        <v>56.98</v>
      </c>
      <c r="N41">
        <v>86.39</v>
      </c>
      <c r="O41">
        <v>1</v>
      </c>
      <c r="P41" t="s">
        <v>40</v>
      </c>
      <c r="Q41" t="s">
        <v>27</v>
      </c>
      <c r="R41">
        <v>87.09</v>
      </c>
      <c r="S41">
        <v>32.68</v>
      </c>
      <c r="T41" t="s">
        <v>28</v>
      </c>
      <c r="U41" t="s">
        <v>29</v>
      </c>
      <c r="V41" t="s">
        <v>30</v>
      </c>
    </row>
    <row r="42" spans="1:22" x14ac:dyDescent="0.25">
      <c r="A42">
        <v>41</v>
      </c>
      <c r="B42" t="str">
        <f>HYPERLINK("https://imapinvasives.natureserve.org/imap/services/page/Presence/1161987.html", "View")</f>
        <v>View</v>
      </c>
      <c r="C42">
        <v>1161987</v>
      </c>
      <c r="D42">
        <v>1169141</v>
      </c>
      <c r="E42" t="str">
        <f>HYPERLINK("http://imap3images.s3-website-us-east-1.amazonaws.com/1169141/p/imap_app_photo_1630962808899.jpg", "View")</f>
        <v>View</v>
      </c>
      <c r="F42" t="s">
        <v>22</v>
      </c>
      <c r="G42" t="s">
        <v>23</v>
      </c>
      <c r="H42">
        <v>57278</v>
      </c>
      <c r="I42" t="s">
        <v>72</v>
      </c>
      <c r="J42" t="s">
        <v>72</v>
      </c>
      <c r="K42" t="s">
        <v>72</v>
      </c>
      <c r="L42" t="s">
        <v>72</v>
      </c>
      <c r="M42" t="s">
        <v>72</v>
      </c>
      <c r="N42" t="s">
        <v>72</v>
      </c>
      <c r="O42">
        <v>0</v>
      </c>
      <c r="P42" t="s">
        <v>26</v>
      </c>
      <c r="Q42" t="s">
        <v>27</v>
      </c>
      <c r="R42">
        <v>87.09</v>
      </c>
      <c r="S42">
        <v>32.68</v>
      </c>
      <c r="T42" t="s">
        <v>28</v>
      </c>
      <c r="U42" t="s">
        <v>28</v>
      </c>
      <c r="V42" t="s">
        <v>30</v>
      </c>
    </row>
    <row r="43" spans="1:22" x14ac:dyDescent="0.25">
      <c r="A43">
        <v>42</v>
      </c>
      <c r="B43" t="str">
        <f>HYPERLINK("https://imapinvasives.natureserve.org/imap/services/page/Presence/1327760.html", "View")</f>
        <v>View</v>
      </c>
      <c r="C43">
        <v>1327760</v>
      </c>
      <c r="D43">
        <v>1340754</v>
      </c>
      <c r="E43" t="str">
        <f>HYPERLINK("http://imap3images.s3-website-us-east-1.amazonaws.com/1340754/p/imap_app_photo_1683211889710.jpg", "View")</f>
        <v>View</v>
      </c>
      <c r="F43" t="s">
        <v>22</v>
      </c>
      <c r="G43" t="s">
        <v>23</v>
      </c>
      <c r="H43">
        <v>57278</v>
      </c>
      <c r="I43" t="str">
        <f>HYPERLINK("https://www.inaturalist.org/taxa/48098-Acer-rubrum", "View")</f>
        <v>View</v>
      </c>
      <c r="J43" t="s">
        <v>73</v>
      </c>
      <c r="K43" t="s">
        <v>74</v>
      </c>
      <c r="L43">
        <v>48098</v>
      </c>
      <c r="M43">
        <v>57.55</v>
      </c>
      <c r="N43">
        <v>32.08</v>
      </c>
      <c r="O43">
        <v>0</v>
      </c>
      <c r="P43" t="s">
        <v>26</v>
      </c>
      <c r="Q43" t="s">
        <v>27</v>
      </c>
      <c r="R43">
        <v>87.09</v>
      </c>
      <c r="S43">
        <v>32.68</v>
      </c>
      <c r="T43" t="s">
        <v>28</v>
      </c>
      <c r="U43" t="s">
        <v>29</v>
      </c>
      <c r="V43" t="s">
        <v>30</v>
      </c>
    </row>
    <row r="44" spans="1:22" x14ac:dyDescent="0.25">
      <c r="A44">
        <v>43</v>
      </c>
      <c r="B44" t="str">
        <f>HYPERLINK("https://imapinvasives.natureserve.org/imap/services/page/Presence/1296825.html", "View")</f>
        <v>View</v>
      </c>
      <c r="C44">
        <v>1296825</v>
      </c>
      <c r="D44">
        <v>1307056</v>
      </c>
      <c r="E44" t="str">
        <f>HYPERLINK("http://imap3images.s3-website-us-east-1.amazonaws.com/1307056/p/IMG_4741.JPG", "View")</f>
        <v>View</v>
      </c>
      <c r="F44" t="s">
        <v>22</v>
      </c>
      <c r="G44" t="s">
        <v>23</v>
      </c>
      <c r="H44">
        <v>57278</v>
      </c>
      <c r="I44" t="str">
        <f>HYPERLINK("https://www.inaturalist.org/taxa/52856-Artemisia-vulgaris", "View")</f>
        <v>View</v>
      </c>
      <c r="J44" t="s">
        <v>75</v>
      </c>
      <c r="K44" t="s">
        <v>76</v>
      </c>
      <c r="L44">
        <v>52856</v>
      </c>
      <c r="M44">
        <v>80.150000000000006</v>
      </c>
      <c r="N44">
        <v>34.06</v>
      </c>
      <c r="O44">
        <v>0</v>
      </c>
      <c r="P44" t="s">
        <v>26</v>
      </c>
      <c r="Q44" t="s">
        <v>27</v>
      </c>
      <c r="R44">
        <v>87.09</v>
      </c>
      <c r="S44">
        <v>32.68</v>
      </c>
      <c r="T44" t="s">
        <v>28</v>
      </c>
      <c r="U44" t="s">
        <v>29</v>
      </c>
      <c r="V44" t="s">
        <v>30</v>
      </c>
    </row>
    <row r="45" spans="1:22" x14ac:dyDescent="0.25">
      <c r="A45">
        <v>44</v>
      </c>
      <c r="B45" t="str">
        <f>HYPERLINK("https://imapinvasives.natureserve.org/imap/services/page/Presence/1310163.html", "View")</f>
        <v>View</v>
      </c>
      <c r="C45">
        <v>1310163</v>
      </c>
      <c r="D45">
        <v>1320878</v>
      </c>
      <c r="E45" t="str">
        <f>HYPERLINK("http://imap3images.s3-website-us-east-1.amazonaws.com/1320878/p/imap_app_photo_1670534053094.jpg", "View")</f>
        <v>View</v>
      </c>
      <c r="F45" t="s">
        <v>22</v>
      </c>
      <c r="G45" t="s">
        <v>23</v>
      </c>
      <c r="H45">
        <v>57278</v>
      </c>
      <c r="I45" t="str">
        <f>HYPERLINK("https://www.inaturalist.org/taxa/914922-Reynoutria-japonica", "View")</f>
        <v>View</v>
      </c>
      <c r="J45" t="s">
        <v>77</v>
      </c>
      <c r="K45" t="s">
        <v>78</v>
      </c>
      <c r="L45">
        <v>914922</v>
      </c>
      <c r="M45">
        <v>48.62</v>
      </c>
      <c r="N45">
        <v>12.81</v>
      </c>
      <c r="O45">
        <v>0</v>
      </c>
      <c r="P45" t="s">
        <v>26</v>
      </c>
      <c r="Q45" t="s">
        <v>27</v>
      </c>
      <c r="R45">
        <v>87.09</v>
      </c>
      <c r="S45">
        <v>32.68</v>
      </c>
      <c r="T45" t="s">
        <v>28</v>
      </c>
      <c r="U45" t="s">
        <v>29</v>
      </c>
      <c r="V45" t="s">
        <v>30</v>
      </c>
    </row>
    <row r="46" spans="1:22" x14ac:dyDescent="0.25">
      <c r="A46">
        <v>45</v>
      </c>
      <c r="B46" t="str">
        <f>HYPERLINK("https://imapinvasives.natureserve.org/imap/services/page/Presence/1310164.html", "View")</f>
        <v>View</v>
      </c>
      <c r="C46">
        <v>1310164</v>
      </c>
      <c r="D46">
        <v>1320879</v>
      </c>
      <c r="E46" t="str">
        <f>HYPERLINK("http://imap3images.s3-website-us-east-1.amazonaws.com/1320879/p/imap_app_photo_1670534082226.jpg", "View")</f>
        <v>View</v>
      </c>
      <c r="F46" t="s">
        <v>22</v>
      </c>
      <c r="G46" t="s">
        <v>23</v>
      </c>
      <c r="H46">
        <v>57278</v>
      </c>
      <c r="I46" t="str">
        <f>HYPERLINK("https://www.inaturalist.org/taxa/52543-Acer-saccharum", "View")</f>
        <v>View</v>
      </c>
      <c r="J46" t="s">
        <v>33</v>
      </c>
      <c r="K46" t="s">
        <v>34</v>
      </c>
      <c r="L46">
        <v>52543</v>
      </c>
      <c r="M46">
        <v>43.42</v>
      </c>
      <c r="N46">
        <v>6.61</v>
      </c>
      <c r="O46">
        <v>0</v>
      </c>
      <c r="P46" t="s">
        <v>26</v>
      </c>
      <c r="Q46" t="s">
        <v>27</v>
      </c>
      <c r="R46">
        <v>87.09</v>
      </c>
      <c r="S46">
        <v>32.68</v>
      </c>
      <c r="T46" t="s">
        <v>28</v>
      </c>
      <c r="U46" t="s">
        <v>29</v>
      </c>
      <c r="V46" t="s">
        <v>30</v>
      </c>
    </row>
    <row r="47" spans="1:22" x14ac:dyDescent="0.25">
      <c r="A47">
        <v>46</v>
      </c>
      <c r="B47" t="str">
        <f>HYPERLINK("https://imapinvasives.natureserve.org/imap/services/page/Presence/1328328.html", "View")</f>
        <v>View</v>
      </c>
      <c r="C47">
        <v>1328328</v>
      </c>
      <c r="D47">
        <v>1341484</v>
      </c>
      <c r="E47" t="str">
        <f>HYPERLINK("http://imap3images.s3-website-us-east-1.amazonaws.com/1341484/p/imap_app_photo_1683574455289.jpg", "View")</f>
        <v>View</v>
      </c>
      <c r="F47" t="s">
        <v>22</v>
      </c>
      <c r="G47" t="s">
        <v>23</v>
      </c>
      <c r="H47">
        <v>57278</v>
      </c>
      <c r="I47" t="str">
        <f>HYPERLINK("https://www.inaturalist.org/taxa/76158-Catalpa-speciosa", "View")</f>
        <v>View</v>
      </c>
      <c r="J47" t="s">
        <v>79</v>
      </c>
      <c r="K47" t="s">
        <v>80</v>
      </c>
      <c r="L47">
        <v>76158</v>
      </c>
      <c r="M47">
        <v>32.24</v>
      </c>
      <c r="N47">
        <v>19.22</v>
      </c>
      <c r="O47">
        <v>0</v>
      </c>
      <c r="P47" t="s">
        <v>26</v>
      </c>
      <c r="Q47" t="s">
        <v>27</v>
      </c>
      <c r="R47">
        <v>87.09</v>
      </c>
      <c r="S47">
        <v>32.68</v>
      </c>
      <c r="T47" t="s">
        <v>28</v>
      </c>
      <c r="U47" t="s">
        <v>28</v>
      </c>
      <c r="V47" t="s">
        <v>30</v>
      </c>
    </row>
    <row r="48" spans="1:22" x14ac:dyDescent="0.25">
      <c r="A48">
        <v>47</v>
      </c>
      <c r="B48" t="str">
        <f>HYPERLINK("https://imapinvasives.natureserve.org/imap/services/page/Presence/1328329.html", "View")</f>
        <v>View</v>
      </c>
      <c r="C48">
        <v>1328329</v>
      </c>
      <c r="D48">
        <v>1341485</v>
      </c>
      <c r="E48" t="str">
        <f>HYPERLINK("http://imap3images.s3-website-us-east-1.amazonaws.com/1341485/p/imap_app_photo_1683574461076.jpg", "View")</f>
        <v>View</v>
      </c>
      <c r="F48" t="s">
        <v>22</v>
      </c>
      <c r="G48" t="s">
        <v>23</v>
      </c>
      <c r="H48">
        <v>57278</v>
      </c>
      <c r="I48" t="str">
        <f>HYPERLINK("https://www.inaturalist.org/taxa/54791-Carya-ovata", "View")</f>
        <v>View</v>
      </c>
      <c r="J48" t="s">
        <v>81</v>
      </c>
      <c r="K48" t="s">
        <v>82</v>
      </c>
      <c r="L48">
        <v>54791</v>
      </c>
      <c r="M48">
        <v>56.27</v>
      </c>
      <c r="N48">
        <v>55.08</v>
      </c>
      <c r="O48">
        <v>0</v>
      </c>
      <c r="P48" t="s">
        <v>26</v>
      </c>
      <c r="Q48" t="s">
        <v>27</v>
      </c>
      <c r="R48">
        <v>87.09</v>
      </c>
      <c r="S48">
        <v>32.68</v>
      </c>
      <c r="T48" t="s">
        <v>28</v>
      </c>
      <c r="U48" t="s">
        <v>29</v>
      </c>
      <c r="V48" t="s">
        <v>30</v>
      </c>
    </row>
    <row r="49" spans="1:22" x14ac:dyDescent="0.25">
      <c r="A49">
        <v>48</v>
      </c>
      <c r="B49" t="str">
        <f>HYPERLINK("https://imapinvasives.natureserve.org/imap/services/page/Presence/1388757.html", "View")</f>
        <v>View</v>
      </c>
      <c r="C49">
        <v>1388757</v>
      </c>
      <c r="D49">
        <v>1406857</v>
      </c>
      <c r="E49" t="str">
        <f>HYPERLINK("http://imap3images.s3-website-us-east-1.amazonaws.com/1406857/p/imap_app_photo_1708186353406.jpg", "View")</f>
        <v>View</v>
      </c>
      <c r="F49" t="s">
        <v>22</v>
      </c>
      <c r="G49" t="s">
        <v>23</v>
      </c>
      <c r="H49">
        <v>57278</v>
      </c>
      <c r="I49" t="str">
        <f>HYPERLINK("https://www.inaturalist.org/taxa/167829-Rhus-typhina", "View")</f>
        <v>View</v>
      </c>
      <c r="J49" t="s">
        <v>48</v>
      </c>
      <c r="K49" t="s">
        <v>49</v>
      </c>
      <c r="L49">
        <v>167829</v>
      </c>
      <c r="M49">
        <v>45.87</v>
      </c>
      <c r="N49">
        <v>62.92</v>
      </c>
      <c r="O49">
        <v>0</v>
      </c>
      <c r="P49" t="s">
        <v>26</v>
      </c>
      <c r="Q49" t="s">
        <v>27</v>
      </c>
      <c r="R49">
        <v>87.09</v>
      </c>
      <c r="S49">
        <v>32.68</v>
      </c>
      <c r="T49" t="s">
        <v>28</v>
      </c>
      <c r="U49" t="s">
        <v>29</v>
      </c>
      <c r="V49" t="s">
        <v>30</v>
      </c>
    </row>
    <row r="50" spans="1:22" x14ac:dyDescent="0.25">
      <c r="A50">
        <v>49</v>
      </c>
      <c r="B50" t="str">
        <f>HYPERLINK("https://imapinvasives.natureserve.org/imap/services/page/Presence/1324588.html", "View")</f>
        <v>View</v>
      </c>
      <c r="C50">
        <v>1324588</v>
      </c>
      <c r="D50">
        <v>1337300</v>
      </c>
      <c r="E50" t="str">
        <f>HYPERLINK("http://imap3images.s3-website-us-east-1.amazonaws.com/1337300/p/imap_app_photo_1680826885328.jpg", "View")</f>
        <v>View</v>
      </c>
      <c r="F50" t="s">
        <v>22</v>
      </c>
      <c r="G50" t="s">
        <v>23</v>
      </c>
      <c r="H50">
        <v>57278</v>
      </c>
      <c r="I50" t="str">
        <f>HYPERLINK("https://www.inaturalist.org/taxa/57278-Ailanthus-altissima", "View")</f>
        <v>View</v>
      </c>
      <c r="J50" t="s">
        <v>22</v>
      </c>
      <c r="K50" t="s">
        <v>39</v>
      </c>
      <c r="L50">
        <v>57278</v>
      </c>
      <c r="M50">
        <v>56.98</v>
      </c>
      <c r="N50">
        <v>26.15</v>
      </c>
      <c r="O50">
        <v>1</v>
      </c>
      <c r="P50" t="s">
        <v>40</v>
      </c>
      <c r="Q50" t="s">
        <v>27</v>
      </c>
      <c r="R50">
        <v>87.09</v>
      </c>
      <c r="S50">
        <v>32.68</v>
      </c>
      <c r="T50" t="s">
        <v>28</v>
      </c>
      <c r="U50" t="s">
        <v>29</v>
      </c>
      <c r="V50" t="s">
        <v>30</v>
      </c>
    </row>
    <row r="51" spans="1:22" x14ac:dyDescent="0.25">
      <c r="A51">
        <v>50</v>
      </c>
      <c r="B51" t="str">
        <f>HYPERLINK("https://imapinvasives.natureserve.org/imap/services/page/Presence/1324589.html", "View")</f>
        <v>View</v>
      </c>
      <c r="C51">
        <v>1324589</v>
      </c>
      <c r="D51">
        <v>1337301</v>
      </c>
      <c r="E51" t="str">
        <f>HYPERLINK("http://imap3images.s3-website-us-east-1.amazonaws.com/1337301/p/imap_app_photo_1680826895527.jpg", "View")</f>
        <v>View</v>
      </c>
      <c r="F51" t="s">
        <v>22</v>
      </c>
      <c r="G51" t="s">
        <v>23</v>
      </c>
      <c r="H51">
        <v>57278</v>
      </c>
      <c r="I51" t="str">
        <f>HYPERLINK("https://www.inaturalist.org/taxa/914922-Reynoutria-japonica", "View")</f>
        <v>View</v>
      </c>
      <c r="J51" t="s">
        <v>77</v>
      </c>
      <c r="K51" t="s">
        <v>78</v>
      </c>
      <c r="L51">
        <v>914922</v>
      </c>
      <c r="M51">
        <v>61.53</v>
      </c>
      <c r="N51">
        <v>10.38</v>
      </c>
      <c r="O51">
        <v>0</v>
      </c>
      <c r="P51" t="s">
        <v>26</v>
      </c>
      <c r="Q51" t="s">
        <v>27</v>
      </c>
      <c r="R51">
        <v>87.09</v>
      </c>
      <c r="S51">
        <v>32.68</v>
      </c>
      <c r="T51" t="s">
        <v>28</v>
      </c>
      <c r="U51" t="s">
        <v>29</v>
      </c>
      <c r="V51" t="s">
        <v>30</v>
      </c>
    </row>
    <row r="52" spans="1:22" x14ac:dyDescent="0.25">
      <c r="A52">
        <v>51</v>
      </c>
      <c r="B52" t="str">
        <f>HYPERLINK("https://imapinvasives.natureserve.org/imap/services/page/Presence/1055995.html", "View")</f>
        <v>View</v>
      </c>
      <c r="C52">
        <v>1055995</v>
      </c>
      <c r="D52">
        <v>1060445</v>
      </c>
      <c r="E52" t="str">
        <f>HYPERLINK("http://imap3images.s3-website-us-east-1.amazonaws.com/1060445/p/imap_app_photo_1594767204118.jpg", "View")</f>
        <v>View</v>
      </c>
      <c r="F52" t="s">
        <v>22</v>
      </c>
      <c r="G52" t="s">
        <v>23</v>
      </c>
      <c r="H52">
        <v>57278</v>
      </c>
      <c r="I52" t="str">
        <f>HYPERLINK("https://www.inaturalist.org/taxa/54504-Juglans-nigra", "View")</f>
        <v>View</v>
      </c>
      <c r="J52" t="s">
        <v>60</v>
      </c>
      <c r="K52" t="s">
        <v>61</v>
      </c>
      <c r="L52">
        <v>54504</v>
      </c>
      <c r="M52">
        <v>33.69</v>
      </c>
      <c r="N52">
        <v>96.13</v>
      </c>
      <c r="O52">
        <v>0</v>
      </c>
      <c r="P52" t="s">
        <v>26</v>
      </c>
      <c r="Q52" t="s">
        <v>27</v>
      </c>
      <c r="R52">
        <v>87.09</v>
      </c>
      <c r="S52">
        <v>32.68</v>
      </c>
      <c r="T52" t="s">
        <v>29</v>
      </c>
      <c r="U52" t="s">
        <v>29</v>
      </c>
      <c r="V52" t="s">
        <v>30</v>
      </c>
    </row>
    <row r="53" spans="1:22" x14ac:dyDescent="0.25">
      <c r="A53">
        <v>52</v>
      </c>
      <c r="B53" t="str">
        <f>HYPERLINK("https://imapinvasives.natureserve.org/imap/services/page/Presence/1118045.html", "View")</f>
        <v>View</v>
      </c>
      <c r="C53">
        <v>1118045</v>
      </c>
      <c r="D53">
        <v>1124107</v>
      </c>
      <c r="E53" t="str">
        <f>HYPERLINK("http://imap3images.s3-website-us-east-1.amazonaws.com/1124107/p/imap_app_photo_1613076001503.jpg", "View")</f>
        <v>View</v>
      </c>
      <c r="F53" t="s">
        <v>22</v>
      </c>
      <c r="G53" t="s">
        <v>23</v>
      </c>
      <c r="H53">
        <v>57278</v>
      </c>
      <c r="I53" t="str">
        <f>HYPERLINK("https://www.inaturalist.org/taxa/52543-Acer-saccharum", "View")</f>
        <v>View</v>
      </c>
      <c r="J53" t="s">
        <v>33</v>
      </c>
      <c r="K53" t="s">
        <v>34</v>
      </c>
      <c r="L53">
        <v>52543</v>
      </c>
      <c r="M53">
        <v>28.25</v>
      </c>
      <c r="N53">
        <v>31.98</v>
      </c>
      <c r="O53">
        <v>0</v>
      </c>
      <c r="P53" t="s">
        <v>26</v>
      </c>
      <c r="Q53" t="s">
        <v>27</v>
      </c>
      <c r="R53">
        <v>87.09</v>
      </c>
      <c r="S53">
        <v>32.68</v>
      </c>
      <c r="T53" t="s">
        <v>28</v>
      </c>
      <c r="U53" t="s">
        <v>28</v>
      </c>
      <c r="V53" t="s">
        <v>30</v>
      </c>
    </row>
    <row r="54" spans="1:22" x14ac:dyDescent="0.25">
      <c r="A54">
        <v>53</v>
      </c>
      <c r="B54" t="str">
        <f>HYPERLINK("https://imapinvasives.natureserve.org/imap/services/page/Presence/1131215.html", "View")</f>
        <v>View</v>
      </c>
      <c r="C54">
        <v>1131215</v>
      </c>
      <c r="D54">
        <v>1137389</v>
      </c>
      <c r="E54" t="str">
        <f>HYPERLINK("http://imap3images.s3-website-us-east-1.amazonaws.com/1137389/p/imap_app_photo_1617731581522.jpg", "View")</f>
        <v>View</v>
      </c>
      <c r="F54" t="s">
        <v>22</v>
      </c>
      <c r="G54" t="s">
        <v>23</v>
      </c>
      <c r="H54">
        <v>57278</v>
      </c>
      <c r="I54" t="str">
        <f>HYPERLINK("https://www.inaturalist.org/taxa/55858-Cornus-mas", "View")</f>
        <v>View</v>
      </c>
      <c r="J54" t="s">
        <v>83</v>
      </c>
      <c r="K54" t="s">
        <v>84</v>
      </c>
      <c r="L54">
        <v>55858</v>
      </c>
      <c r="M54">
        <v>36.96</v>
      </c>
      <c r="N54">
        <v>7.45</v>
      </c>
      <c r="O54">
        <v>0</v>
      </c>
      <c r="P54" t="s">
        <v>26</v>
      </c>
      <c r="Q54" t="s">
        <v>27</v>
      </c>
      <c r="R54">
        <v>87.09</v>
      </c>
      <c r="S54">
        <v>32.68</v>
      </c>
      <c r="T54" t="s">
        <v>28</v>
      </c>
      <c r="U54" t="s">
        <v>29</v>
      </c>
      <c r="V54" t="s">
        <v>30</v>
      </c>
    </row>
    <row r="55" spans="1:22" x14ac:dyDescent="0.25">
      <c r="A55">
        <v>54</v>
      </c>
      <c r="B55" t="str">
        <f>HYPERLINK("https://imapinvasives.natureserve.org/imap/services/page/Presence/1213130.html", "View")</f>
        <v>View</v>
      </c>
      <c r="C55">
        <v>1213130</v>
      </c>
      <c r="D55">
        <v>1221215</v>
      </c>
      <c r="E55" t="str">
        <f>HYPERLINK("http://imap3images.s3-website-us-east-1.amazonaws.com/1221215/p/imap_app_photo_1638922378477.jpg", "View")</f>
        <v>View</v>
      </c>
      <c r="F55" t="s">
        <v>22</v>
      </c>
      <c r="G55" t="s">
        <v>23</v>
      </c>
      <c r="H55">
        <v>57278</v>
      </c>
      <c r="I55" t="str">
        <f>HYPERLINK("https://www.inaturalist.org/taxa/57278-Ailanthus-altissima", "View")</f>
        <v>View</v>
      </c>
      <c r="J55" t="s">
        <v>22</v>
      </c>
      <c r="K55" t="s">
        <v>39</v>
      </c>
      <c r="L55">
        <v>57278</v>
      </c>
      <c r="M55">
        <v>30.58</v>
      </c>
      <c r="N55">
        <v>48.86</v>
      </c>
      <c r="O55">
        <v>1</v>
      </c>
      <c r="P55" t="s">
        <v>40</v>
      </c>
      <c r="Q55" t="s">
        <v>27</v>
      </c>
      <c r="R55">
        <v>87.09</v>
      </c>
      <c r="S55">
        <v>32.68</v>
      </c>
      <c r="T55" t="s">
        <v>28</v>
      </c>
      <c r="U55" t="s">
        <v>28</v>
      </c>
      <c r="V55" t="s">
        <v>30</v>
      </c>
    </row>
    <row r="56" spans="1:22" x14ac:dyDescent="0.25">
      <c r="A56">
        <v>55</v>
      </c>
      <c r="B56" t="str">
        <f>HYPERLINK("https://imapinvasives.natureserve.org/imap/services/page/Presence/1320562.html", "View")</f>
        <v>View</v>
      </c>
      <c r="C56">
        <v>1320562</v>
      </c>
      <c r="D56">
        <v>1332473</v>
      </c>
      <c r="E56" t="str">
        <f>HYPERLINK("http://imap3images.s3-website-us-east-1.amazonaws.com/1332473/p/imap_app_photo_1675193693140.jpg", "View")</f>
        <v>View</v>
      </c>
      <c r="F56" t="s">
        <v>22</v>
      </c>
      <c r="G56" t="s">
        <v>23</v>
      </c>
      <c r="H56">
        <v>57278</v>
      </c>
      <c r="I56" t="str">
        <f>HYPERLINK("https://www.inaturalist.org/taxa/54791-Carya-ovata", "View")</f>
        <v>View</v>
      </c>
      <c r="J56" t="s">
        <v>81</v>
      </c>
      <c r="K56" t="s">
        <v>82</v>
      </c>
      <c r="L56">
        <v>54791</v>
      </c>
      <c r="M56">
        <v>51.91</v>
      </c>
      <c r="N56">
        <v>20.84</v>
      </c>
      <c r="O56">
        <v>0</v>
      </c>
      <c r="P56" t="s">
        <v>26</v>
      </c>
      <c r="Q56" t="s">
        <v>27</v>
      </c>
      <c r="R56">
        <v>87.09</v>
      </c>
      <c r="S56">
        <v>32.68</v>
      </c>
      <c r="T56" t="s">
        <v>28</v>
      </c>
      <c r="U56" t="s">
        <v>29</v>
      </c>
      <c r="V56" t="s">
        <v>30</v>
      </c>
    </row>
    <row r="57" spans="1:22" x14ac:dyDescent="0.25">
      <c r="A57">
        <v>56</v>
      </c>
      <c r="B57" t="str">
        <f>HYPERLINK("https://imapinvasives.natureserve.org/imap/services/page/Presence/1280366.html", "View")</f>
        <v>View</v>
      </c>
      <c r="C57">
        <v>1280366</v>
      </c>
      <c r="D57">
        <v>1289757</v>
      </c>
      <c r="E57" t="str">
        <f>HYPERLINK("http://imap3images.s3-website-us-east-1.amazonaws.com/1289757/p/imap_app_photo_1656506702541.jpg", "View")</f>
        <v>View</v>
      </c>
      <c r="F57" t="s">
        <v>22</v>
      </c>
      <c r="G57" t="s">
        <v>23</v>
      </c>
      <c r="H57">
        <v>57278</v>
      </c>
      <c r="I57" t="str">
        <f>HYPERLINK("https://www.inaturalist.org/taxa/43794-Castor-canadensis", "View")</f>
        <v>View</v>
      </c>
      <c r="J57" t="s">
        <v>85</v>
      </c>
      <c r="K57" t="s">
        <v>86</v>
      </c>
      <c r="L57">
        <v>43794</v>
      </c>
      <c r="M57">
        <v>47.94</v>
      </c>
      <c r="N57">
        <v>17.190000000000001</v>
      </c>
      <c r="O57">
        <v>0</v>
      </c>
      <c r="P57" t="s">
        <v>26</v>
      </c>
      <c r="Q57" t="s">
        <v>27</v>
      </c>
      <c r="R57">
        <v>87.09</v>
      </c>
      <c r="S57">
        <v>32.68</v>
      </c>
      <c r="T57" t="s">
        <v>28</v>
      </c>
      <c r="U57" t="s">
        <v>29</v>
      </c>
      <c r="V57" t="s">
        <v>30</v>
      </c>
    </row>
    <row r="58" spans="1:22" x14ac:dyDescent="0.25">
      <c r="A58">
        <v>57</v>
      </c>
      <c r="B58" t="str">
        <f>HYPERLINK("https://imapinvasives.natureserve.org/imap/services/page/Presence/1282409.html", "View")</f>
        <v>View</v>
      </c>
      <c r="C58">
        <v>1282409</v>
      </c>
      <c r="D58">
        <v>1291875</v>
      </c>
      <c r="E58" t="str">
        <f>HYPERLINK("http://imap3images.s3-website-us-east-1.amazonaws.com/1291875/p/imap_app_photo_1657912913811.jpg", "View")</f>
        <v>View</v>
      </c>
      <c r="F58" t="s">
        <v>22</v>
      </c>
      <c r="G58" t="s">
        <v>23</v>
      </c>
      <c r="H58">
        <v>57278</v>
      </c>
      <c r="I58" t="str">
        <f>HYPERLINK("https://www.inaturalist.org/taxa/54504-Juglans-nigra", "View")</f>
        <v>View</v>
      </c>
      <c r="J58" t="s">
        <v>60</v>
      </c>
      <c r="K58" t="s">
        <v>61</v>
      </c>
      <c r="L58">
        <v>54504</v>
      </c>
      <c r="M58">
        <v>33.69</v>
      </c>
      <c r="N58">
        <v>26.78</v>
      </c>
      <c r="O58">
        <v>0</v>
      </c>
      <c r="P58" t="s">
        <v>26</v>
      </c>
      <c r="Q58" t="s">
        <v>27</v>
      </c>
      <c r="R58">
        <v>87.09</v>
      </c>
      <c r="S58">
        <v>32.68</v>
      </c>
      <c r="T58" t="s">
        <v>28</v>
      </c>
      <c r="U58" t="s">
        <v>29</v>
      </c>
      <c r="V58" t="s">
        <v>30</v>
      </c>
    </row>
    <row r="59" spans="1:22" x14ac:dyDescent="0.25">
      <c r="A59">
        <v>58</v>
      </c>
      <c r="B59" t="str">
        <f>HYPERLINK("https://imapinvasives.natureserve.org/imap/services/page/Presence/1165030.html", "View")</f>
        <v>View</v>
      </c>
      <c r="C59">
        <v>1165030</v>
      </c>
      <c r="D59">
        <v>1172289</v>
      </c>
      <c r="E59" t="str">
        <f>HYPERLINK("http://imap3images.s3-website-us-east-1.amazonaws.com/1172289/p/imap_app_photo_1632752526979.jpg", "View")</f>
        <v>View</v>
      </c>
      <c r="F59" t="s">
        <v>22</v>
      </c>
      <c r="G59" t="s">
        <v>23</v>
      </c>
      <c r="H59">
        <v>57278</v>
      </c>
      <c r="I59" t="str">
        <f>HYPERLINK("https://www.inaturalist.org/taxa/57278-Ailanthus-altissima", "View")</f>
        <v>View</v>
      </c>
      <c r="J59" t="s">
        <v>22</v>
      </c>
      <c r="K59" t="s">
        <v>39</v>
      </c>
      <c r="L59">
        <v>57278</v>
      </c>
      <c r="M59">
        <v>4.1100000000000003</v>
      </c>
      <c r="N59">
        <v>84.05</v>
      </c>
      <c r="O59">
        <v>1</v>
      </c>
      <c r="P59" t="s">
        <v>40</v>
      </c>
      <c r="Q59" t="s">
        <v>27</v>
      </c>
      <c r="R59">
        <v>87.09</v>
      </c>
      <c r="S59">
        <v>32.68</v>
      </c>
      <c r="T59" t="s">
        <v>28</v>
      </c>
      <c r="U59" t="s">
        <v>28</v>
      </c>
      <c r="V59" t="s">
        <v>30</v>
      </c>
    </row>
    <row r="60" spans="1:22" x14ac:dyDescent="0.25">
      <c r="A60">
        <v>59</v>
      </c>
      <c r="B60" t="str">
        <f>HYPERLINK("https://imapinvasives.natureserve.org/imap/services/page/Presence/1170157.html", "View")</f>
        <v>View</v>
      </c>
      <c r="C60">
        <v>1170157</v>
      </c>
      <c r="D60">
        <v>1177690</v>
      </c>
      <c r="E60" t="str">
        <f>HYPERLINK("http://imap3images.s3-website-us-east-1.amazonaws.com/1177690/p/imap_app_photo_1634073124060.jpg", "View")</f>
        <v>View</v>
      </c>
      <c r="F60" t="s">
        <v>22</v>
      </c>
      <c r="G60" t="s">
        <v>23</v>
      </c>
      <c r="H60">
        <v>57278</v>
      </c>
      <c r="I60" t="str">
        <f>HYPERLINK("https://www.inaturalist.org/taxa/158549-Aralia-elata", "View")</f>
        <v>View</v>
      </c>
      <c r="J60" t="s">
        <v>87</v>
      </c>
      <c r="K60" t="s">
        <v>88</v>
      </c>
      <c r="L60">
        <v>158549</v>
      </c>
      <c r="M60">
        <v>15.89</v>
      </c>
      <c r="N60">
        <v>26</v>
      </c>
      <c r="O60">
        <v>0</v>
      </c>
      <c r="P60" t="s">
        <v>26</v>
      </c>
      <c r="Q60" t="s">
        <v>27</v>
      </c>
      <c r="R60">
        <v>87.09</v>
      </c>
      <c r="S60">
        <v>32.68</v>
      </c>
      <c r="T60" t="s">
        <v>28</v>
      </c>
      <c r="U60" t="s">
        <v>28</v>
      </c>
      <c r="V60" t="s">
        <v>30</v>
      </c>
    </row>
    <row r="61" spans="1:22" x14ac:dyDescent="0.25">
      <c r="A61">
        <v>60</v>
      </c>
      <c r="B61" t="str">
        <f>HYPERLINK("https://imapinvasives.natureserve.org/imap/services/page/Presence/421917.html", "View")</f>
        <v>View</v>
      </c>
      <c r="C61">
        <v>421917</v>
      </c>
      <c r="D61">
        <v>421917</v>
      </c>
      <c r="E61" t="str">
        <f>HYPERLINK("http://imap3images.s3-website-us-east-1.amazonaws.com/421917/p/photourl3_2014_11_17_scoward_me2tj360.jpg", "View")</f>
        <v>View</v>
      </c>
      <c r="F61" t="s">
        <v>22</v>
      </c>
      <c r="G61" t="s">
        <v>23</v>
      </c>
      <c r="H61">
        <v>57278</v>
      </c>
      <c r="I61" t="str">
        <f>HYPERLINK("https://www.inaturalist.org/taxa/57278-Ailanthus-altissima", "View")</f>
        <v>View</v>
      </c>
      <c r="J61" t="s">
        <v>22</v>
      </c>
      <c r="K61" t="s">
        <v>39</v>
      </c>
      <c r="L61">
        <v>57278</v>
      </c>
      <c r="M61">
        <v>14.02</v>
      </c>
      <c r="N61">
        <v>8.52</v>
      </c>
      <c r="O61">
        <v>1</v>
      </c>
      <c r="P61" t="s">
        <v>40</v>
      </c>
      <c r="Q61" t="s">
        <v>27</v>
      </c>
      <c r="R61">
        <v>87.09</v>
      </c>
      <c r="S61">
        <v>32.68</v>
      </c>
      <c r="T61" t="s">
        <v>28</v>
      </c>
      <c r="U61" t="s">
        <v>28</v>
      </c>
      <c r="V61" t="s">
        <v>30</v>
      </c>
    </row>
    <row r="62" spans="1:22" x14ac:dyDescent="0.25">
      <c r="A62">
        <v>61</v>
      </c>
      <c r="B62" t="str">
        <f>HYPERLINK("https://imapinvasives.natureserve.org/imap/services/page/Presence/425296.html", "View")</f>
        <v>View</v>
      </c>
      <c r="C62">
        <v>425296</v>
      </c>
      <c r="D62">
        <v>425296</v>
      </c>
      <c r="E62" t="str">
        <f>HYPERLINK("http://imap3images.s3-website-us-east-1.amazonaws.com/425296/p/photourl1_2014_11_22_matfutia_nv895d4p.jpg", "View")</f>
        <v>View</v>
      </c>
      <c r="F62" t="s">
        <v>22</v>
      </c>
      <c r="G62" t="s">
        <v>23</v>
      </c>
      <c r="H62">
        <v>57278</v>
      </c>
      <c r="I62" t="str">
        <f>HYPERLINK("https://www.inaturalist.org/taxa/76158-Catalpa-speciosa", "View")</f>
        <v>View</v>
      </c>
      <c r="J62" t="s">
        <v>79</v>
      </c>
      <c r="K62" t="s">
        <v>80</v>
      </c>
      <c r="L62">
        <v>76158</v>
      </c>
      <c r="M62">
        <v>18.47</v>
      </c>
      <c r="N62">
        <v>19.649999999999999</v>
      </c>
      <c r="O62">
        <v>0</v>
      </c>
      <c r="P62" t="s">
        <v>26</v>
      </c>
      <c r="Q62" t="s">
        <v>27</v>
      </c>
      <c r="R62">
        <v>87.09</v>
      </c>
      <c r="S62">
        <v>32.68</v>
      </c>
      <c r="T62" t="s">
        <v>28</v>
      </c>
      <c r="U62" t="s">
        <v>28</v>
      </c>
      <c r="V62" t="s">
        <v>30</v>
      </c>
    </row>
    <row r="63" spans="1:22" x14ac:dyDescent="0.25">
      <c r="A63">
        <v>62</v>
      </c>
      <c r="B63" t="str">
        <f>HYPERLINK("https://imapinvasives.natureserve.org/imap/services/page/Presence/425300.html", "View")</f>
        <v>View</v>
      </c>
      <c r="C63">
        <v>425300</v>
      </c>
      <c r="D63">
        <v>425300</v>
      </c>
      <c r="E63" t="str">
        <f>HYPERLINK("http://imap3images.s3-website-us-east-1.amazonaws.com/425300/p/photourl1_2014_11_22_matfutia_jyj4p50d.jpg", "View")</f>
        <v>View</v>
      </c>
      <c r="F63" t="s">
        <v>22</v>
      </c>
      <c r="G63" t="s">
        <v>23</v>
      </c>
      <c r="H63">
        <v>57278</v>
      </c>
      <c r="I63" t="str">
        <f>HYPERLINK("https://www.inaturalist.org/taxa/167829-Rhus-typhina", "View")</f>
        <v>View</v>
      </c>
      <c r="J63" t="s">
        <v>48</v>
      </c>
      <c r="K63" t="s">
        <v>49</v>
      </c>
      <c r="L63">
        <v>167829</v>
      </c>
      <c r="M63">
        <v>47.77</v>
      </c>
      <c r="N63">
        <v>33.24</v>
      </c>
      <c r="O63">
        <v>0</v>
      </c>
      <c r="P63" t="s">
        <v>26</v>
      </c>
      <c r="Q63" t="s">
        <v>27</v>
      </c>
      <c r="R63">
        <v>87.09</v>
      </c>
      <c r="S63">
        <v>32.68</v>
      </c>
      <c r="T63" t="s">
        <v>28</v>
      </c>
      <c r="U63" t="s">
        <v>29</v>
      </c>
      <c r="V63" t="s">
        <v>30</v>
      </c>
    </row>
    <row r="64" spans="1:22" x14ac:dyDescent="0.25">
      <c r="A64">
        <v>63</v>
      </c>
      <c r="B64" t="str">
        <f>HYPERLINK("https://imapinvasives.natureserve.org/imap/services/page/Presence/512189.html", "View")</f>
        <v>View</v>
      </c>
      <c r="C64">
        <v>512189</v>
      </c>
      <c r="D64">
        <v>512189</v>
      </c>
      <c r="E64" t="str">
        <f>HYPERLINK("http://imap3images.s3-website-us-east-1.amazonaws.com/512189/p/photourl1_2017_06_20_jesschuler_py5285dy.jpg", "View")</f>
        <v>View</v>
      </c>
      <c r="F64" t="s">
        <v>22</v>
      </c>
      <c r="G64" t="s">
        <v>23</v>
      </c>
      <c r="H64">
        <v>57278</v>
      </c>
      <c r="I64" t="str">
        <f>HYPERLINK("https://www.inaturalist.org/taxa/57278-Ailanthus-altissima", "View")</f>
        <v>View</v>
      </c>
      <c r="J64" t="s">
        <v>22</v>
      </c>
      <c r="K64" t="s">
        <v>39</v>
      </c>
      <c r="L64">
        <v>57278</v>
      </c>
      <c r="M64">
        <v>88.91</v>
      </c>
      <c r="N64">
        <v>42.08</v>
      </c>
      <c r="O64">
        <v>1</v>
      </c>
      <c r="P64" t="s">
        <v>40</v>
      </c>
      <c r="Q64" t="s">
        <v>27</v>
      </c>
      <c r="R64">
        <v>87.09</v>
      </c>
      <c r="S64">
        <v>32.68</v>
      </c>
      <c r="T64" t="s">
        <v>28</v>
      </c>
      <c r="U64" t="s">
        <v>29</v>
      </c>
      <c r="V64" t="s">
        <v>30</v>
      </c>
    </row>
    <row r="65" spans="1:22" x14ac:dyDescent="0.25">
      <c r="A65">
        <v>64</v>
      </c>
      <c r="B65" t="str">
        <f>HYPERLINK("https://imapinvasives.natureserve.org/imap/services/page/Presence/515523.html", "View")</f>
        <v>View</v>
      </c>
      <c r="C65">
        <v>515523</v>
      </c>
      <c r="D65">
        <v>515523</v>
      </c>
      <c r="E65" t="str">
        <f>HYPERLINK("http://imap3images.s3-website-us-east-1.amazonaws.com/515523/p/photourl1_2017_10_07_naohaber_6jreak4a.jpg", "View")</f>
        <v>View</v>
      </c>
      <c r="F65" t="s">
        <v>22</v>
      </c>
      <c r="G65" t="s">
        <v>23</v>
      </c>
      <c r="H65">
        <v>57278</v>
      </c>
      <c r="I65" t="str">
        <f>HYPERLINK("https://www.inaturalist.org/taxa/57278-Ailanthus-altissima", "View")</f>
        <v>View</v>
      </c>
      <c r="J65" t="s">
        <v>22</v>
      </c>
      <c r="K65" t="s">
        <v>39</v>
      </c>
      <c r="L65">
        <v>57278</v>
      </c>
      <c r="M65">
        <v>67.39</v>
      </c>
      <c r="N65">
        <v>64.459999999999994</v>
      </c>
      <c r="O65">
        <v>1</v>
      </c>
      <c r="P65" t="s">
        <v>40</v>
      </c>
      <c r="Q65" t="s">
        <v>27</v>
      </c>
      <c r="R65">
        <v>87.09</v>
      </c>
      <c r="S65">
        <v>32.68</v>
      </c>
      <c r="T65" t="s">
        <v>28</v>
      </c>
      <c r="U65" t="s">
        <v>29</v>
      </c>
      <c r="V65" t="s">
        <v>30</v>
      </c>
    </row>
    <row r="66" spans="1:22" x14ac:dyDescent="0.25">
      <c r="A66">
        <v>65</v>
      </c>
      <c r="B66" t="str">
        <f>HYPERLINK("https://imapinvasives.natureserve.org/imap/services/page/Presence/515524.html", "View")</f>
        <v>View</v>
      </c>
      <c r="C66">
        <v>515524</v>
      </c>
      <c r="D66">
        <v>515524</v>
      </c>
      <c r="E66" t="str">
        <f>HYPERLINK("http://imap3images.s3-website-us-east-1.amazonaws.com/515524/p/photourl1_2017_10_07_naohaber_e3bb1g22.jpg", "View")</f>
        <v>View</v>
      </c>
      <c r="F66" t="s">
        <v>22</v>
      </c>
      <c r="G66" t="s">
        <v>23</v>
      </c>
      <c r="H66">
        <v>57278</v>
      </c>
      <c r="I66" t="str">
        <f>HYPERLINK("https://www.inaturalist.org/taxa/57278-Ailanthus-altissima", "View")</f>
        <v>View</v>
      </c>
      <c r="J66" t="s">
        <v>22</v>
      </c>
      <c r="K66" t="s">
        <v>39</v>
      </c>
      <c r="L66">
        <v>57278</v>
      </c>
      <c r="M66">
        <v>67.39</v>
      </c>
      <c r="N66">
        <v>81.92</v>
      </c>
      <c r="O66">
        <v>1</v>
      </c>
      <c r="P66" t="s">
        <v>40</v>
      </c>
      <c r="Q66" t="s">
        <v>27</v>
      </c>
      <c r="R66">
        <v>87.09</v>
      </c>
      <c r="S66">
        <v>32.68</v>
      </c>
      <c r="T66" t="s">
        <v>28</v>
      </c>
      <c r="U66" t="s">
        <v>29</v>
      </c>
      <c r="V66" t="s">
        <v>30</v>
      </c>
    </row>
    <row r="67" spans="1:22" x14ac:dyDescent="0.25">
      <c r="A67">
        <v>66</v>
      </c>
      <c r="B67" t="str">
        <f>HYPERLINK("https://imapinvasives.natureserve.org/imap/services/page/Presence/515598.html", "View")</f>
        <v>View</v>
      </c>
      <c r="C67">
        <v>515598</v>
      </c>
      <c r="D67">
        <v>515598</v>
      </c>
      <c r="E67" t="str">
        <f>HYPERLINK("http://imap3images.s3-website-us-east-1.amazonaws.com/515598/p/photourl1_2017_10_07_sarkline_6jojnrhl.jpg", "View")</f>
        <v>View</v>
      </c>
      <c r="F67" t="s">
        <v>22</v>
      </c>
      <c r="G67" t="s">
        <v>23</v>
      </c>
      <c r="H67">
        <v>57278</v>
      </c>
      <c r="I67" t="str">
        <f>HYPERLINK("https://www.inaturalist.org/taxa/57278-Ailanthus-altissima", "View")</f>
        <v>View</v>
      </c>
      <c r="J67" t="s">
        <v>22</v>
      </c>
      <c r="K67" t="s">
        <v>39</v>
      </c>
      <c r="L67">
        <v>57278</v>
      </c>
      <c r="M67">
        <v>1.55</v>
      </c>
      <c r="N67">
        <v>92.47</v>
      </c>
      <c r="O67">
        <v>1</v>
      </c>
      <c r="P67" t="s">
        <v>40</v>
      </c>
      <c r="Q67" t="s">
        <v>27</v>
      </c>
      <c r="R67">
        <v>87.09</v>
      </c>
      <c r="S67">
        <v>32.68</v>
      </c>
      <c r="T67" t="s">
        <v>29</v>
      </c>
      <c r="U67" t="s">
        <v>28</v>
      </c>
      <c r="V67" t="s">
        <v>41</v>
      </c>
    </row>
    <row r="68" spans="1:22" x14ac:dyDescent="0.25">
      <c r="A68">
        <v>67</v>
      </c>
      <c r="B68" t="str">
        <f>HYPERLINK("https://imapinvasives.natureserve.org/imap/services/page/Presence/515606.html", "View")</f>
        <v>View</v>
      </c>
      <c r="C68">
        <v>515606</v>
      </c>
      <c r="D68">
        <v>515606</v>
      </c>
      <c r="E68" t="str">
        <f>HYPERLINK("http://imap3images.s3-website-us-east-1.amazonaws.com/515606/p/photourl1_2017_10_06_sarkline_t3ql72qt.jpg", "View")</f>
        <v>View</v>
      </c>
      <c r="F68" t="s">
        <v>22</v>
      </c>
      <c r="G68" t="s">
        <v>23</v>
      </c>
      <c r="H68">
        <v>57278</v>
      </c>
      <c r="I68" t="str">
        <f>HYPERLINK("https://www.inaturalist.org/taxa/57278-Ailanthus-altissima", "View")</f>
        <v>View</v>
      </c>
      <c r="J68" t="s">
        <v>22</v>
      </c>
      <c r="K68" t="s">
        <v>39</v>
      </c>
      <c r="L68">
        <v>57278</v>
      </c>
      <c r="M68">
        <v>13.55</v>
      </c>
      <c r="N68">
        <v>44.37</v>
      </c>
      <c r="O68">
        <v>1</v>
      </c>
      <c r="P68" t="s">
        <v>40</v>
      </c>
      <c r="Q68" t="s">
        <v>27</v>
      </c>
      <c r="R68">
        <v>87.09</v>
      </c>
      <c r="S68">
        <v>32.68</v>
      </c>
      <c r="T68" t="s">
        <v>28</v>
      </c>
      <c r="U68" t="s">
        <v>28</v>
      </c>
      <c r="V68" t="s">
        <v>30</v>
      </c>
    </row>
    <row r="69" spans="1:22" x14ac:dyDescent="0.25">
      <c r="A69">
        <v>68</v>
      </c>
      <c r="B69" t="str">
        <f>HYPERLINK("https://imapinvasives.natureserve.org/imap/services/page/Presence/525413.html", "View")</f>
        <v>View</v>
      </c>
      <c r="C69">
        <v>525413</v>
      </c>
      <c r="D69">
        <v>525413</v>
      </c>
      <c r="E69" t="str">
        <f>HYPERLINK("http://imap3images.s3-website-us-east-1.amazonaws.com/525413/p/photourl1_2018_05_09_johthompson_hnauspz2.jpg", "View")</f>
        <v>View</v>
      </c>
      <c r="F69" t="s">
        <v>22</v>
      </c>
      <c r="G69" t="s">
        <v>23</v>
      </c>
      <c r="H69">
        <v>57278</v>
      </c>
      <c r="I69" t="str">
        <f>HYPERLINK("https://www.inaturalist.org/taxa/53582-Liriodendron-tulipifera", "View")</f>
        <v>View</v>
      </c>
      <c r="J69" t="s">
        <v>89</v>
      </c>
      <c r="K69" t="s">
        <v>90</v>
      </c>
      <c r="L69">
        <v>53582</v>
      </c>
      <c r="M69">
        <v>24.73</v>
      </c>
      <c r="N69">
        <v>8.69</v>
      </c>
      <c r="O69">
        <v>0</v>
      </c>
      <c r="P69" t="s">
        <v>26</v>
      </c>
      <c r="Q69" t="s">
        <v>27</v>
      </c>
      <c r="R69">
        <v>87.09</v>
      </c>
      <c r="S69">
        <v>32.68</v>
      </c>
      <c r="T69" t="s">
        <v>28</v>
      </c>
      <c r="U69" t="s">
        <v>28</v>
      </c>
      <c r="V69" t="s">
        <v>30</v>
      </c>
    </row>
    <row r="70" spans="1:22" x14ac:dyDescent="0.25">
      <c r="A70">
        <v>69</v>
      </c>
      <c r="B70" t="str">
        <f>HYPERLINK("https://imapinvasives.natureserve.org/imap/services/page/Presence/525693.html", "View")</f>
        <v>View</v>
      </c>
      <c r="C70">
        <v>525693</v>
      </c>
      <c r="D70">
        <v>525693</v>
      </c>
      <c r="E70" t="str">
        <f>HYPERLINK("http://imap3images.s3-website-us-east-1.amazonaws.com/525693/p/photourl1_2018_05_22_malkaletsch_dzwafjtn.jpg", "View")</f>
        <v>View</v>
      </c>
      <c r="F70" t="s">
        <v>22</v>
      </c>
      <c r="G70" t="s">
        <v>23</v>
      </c>
      <c r="H70">
        <v>57278</v>
      </c>
      <c r="I70" t="str">
        <f>HYPERLINK("https://www.inaturalist.org/taxa/54763-Acer-platanoides", "View")</f>
        <v>View</v>
      </c>
      <c r="J70" t="s">
        <v>91</v>
      </c>
      <c r="K70" t="s">
        <v>92</v>
      </c>
      <c r="L70">
        <v>54763</v>
      </c>
      <c r="M70">
        <v>45.4</v>
      </c>
      <c r="N70">
        <v>10.130000000000001</v>
      </c>
      <c r="O70">
        <v>0</v>
      </c>
      <c r="P70" t="s">
        <v>26</v>
      </c>
      <c r="Q70" t="s">
        <v>27</v>
      </c>
      <c r="R70">
        <v>87.09</v>
      </c>
      <c r="S70">
        <v>32.68</v>
      </c>
      <c r="T70" t="s">
        <v>28</v>
      </c>
      <c r="U70" t="s">
        <v>29</v>
      </c>
      <c r="V70" t="s">
        <v>30</v>
      </c>
    </row>
    <row r="71" spans="1:22" x14ac:dyDescent="0.25">
      <c r="A71">
        <v>70</v>
      </c>
      <c r="B71" t="str">
        <f>HYPERLINK("https://imapinvasives.natureserve.org/imap/services/page/Presence/525695.html", "View")</f>
        <v>View</v>
      </c>
      <c r="C71">
        <v>525695</v>
      </c>
      <c r="D71">
        <v>525695</v>
      </c>
      <c r="E71" t="str">
        <f>HYPERLINK("http://imap3images.s3-website-us-east-1.amazonaws.com/525695/p/photourl1_2018_05_22_malkaletsch_4onzp9km.jpg", "View")</f>
        <v>View</v>
      </c>
      <c r="F71" t="s">
        <v>22</v>
      </c>
      <c r="G71" t="s">
        <v>23</v>
      </c>
      <c r="H71">
        <v>57278</v>
      </c>
      <c r="I71" t="str">
        <f>HYPERLINK("https://www.inaturalist.org/taxa/52391-Pinus-strobus", "View")</f>
        <v>View</v>
      </c>
      <c r="J71" t="s">
        <v>93</v>
      </c>
      <c r="K71" t="s">
        <v>94</v>
      </c>
      <c r="L71">
        <v>52391</v>
      </c>
      <c r="M71">
        <v>69.52</v>
      </c>
      <c r="N71">
        <v>7.99</v>
      </c>
      <c r="O71">
        <v>0</v>
      </c>
      <c r="P71" t="s">
        <v>26</v>
      </c>
      <c r="Q71" t="s">
        <v>27</v>
      </c>
      <c r="R71">
        <v>87.09</v>
      </c>
      <c r="S71">
        <v>32.68</v>
      </c>
      <c r="T71" t="s">
        <v>28</v>
      </c>
      <c r="U71" t="s">
        <v>29</v>
      </c>
      <c r="V71" t="s">
        <v>30</v>
      </c>
    </row>
    <row r="72" spans="1:22" x14ac:dyDescent="0.25">
      <c r="A72">
        <v>71</v>
      </c>
      <c r="B72" t="str">
        <f>HYPERLINK("https://imapinvasives.natureserve.org/imap/services/page/Presence/525696.html", "View")</f>
        <v>View</v>
      </c>
      <c r="C72">
        <v>525696</v>
      </c>
      <c r="D72">
        <v>525696</v>
      </c>
      <c r="E72" t="str">
        <f>HYPERLINK("http://imap3images.s3-website-us-east-1.amazonaws.com/525696/p/photourl1_2018_05_22_malkaletsch_bjhwmwar.jpg", "View")</f>
        <v>View</v>
      </c>
      <c r="F72" t="s">
        <v>22</v>
      </c>
      <c r="G72" t="s">
        <v>23</v>
      </c>
      <c r="H72">
        <v>57278</v>
      </c>
      <c r="I72" t="str">
        <f>HYPERLINK("https://www.inaturalist.org/taxa/52543-Acer-saccharum", "View")</f>
        <v>View</v>
      </c>
      <c r="J72" t="s">
        <v>33</v>
      </c>
      <c r="K72" t="s">
        <v>34</v>
      </c>
      <c r="L72">
        <v>52543</v>
      </c>
      <c r="M72">
        <v>37.4</v>
      </c>
      <c r="N72">
        <v>18.09</v>
      </c>
      <c r="O72">
        <v>0</v>
      </c>
      <c r="P72" t="s">
        <v>26</v>
      </c>
      <c r="Q72" t="s">
        <v>27</v>
      </c>
      <c r="R72">
        <v>87.09</v>
      </c>
      <c r="S72">
        <v>32.68</v>
      </c>
      <c r="T72" t="s">
        <v>28</v>
      </c>
      <c r="U72" t="s">
        <v>29</v>
      </c>
      <c r="V72" t="s">
        <v>30</v>
      </c>
    </row>
    <row r="73" spans="1:22" x14ac:dyDescent="0.25">
      <c r="A73">
        <v>72</v>
      </c>
      <c r="B73" t="str">
        <f>HYPERLINK("https://imapinvasives.natureserve.org/imap/services/page/Presence/525697.html", "View")</f>
        <v>View</v>
      </c>
      <c r="C73">
        <v>525697</v>
      </c>
      <c r="D73">
        <v>525697</v>
      </c>
      <c r="E73" t="str">
        <f>HYPERLINK("http://imap3images.s3-website-us-east-1.amazonaws.com/525697/p/photourl1_2018_05_22_malkaletsch_oqersvam.jpg", "View")</f>
        <v>View</v>
      </c>
      <c r="F73" t="s">
        <v>22</v>
      </c>
      <c r="G73" t="s">
        <v>23</v>
      </c>
      <c r="H73">
        <v>57278</v>
      </c>
      <c r="I73" t="str">
        <f>HYPERLINK("https://www.inaturalist.org/taxa/54787-Carya-cordiformis", "View")</f>
        <v>View</v>
      </c>
      <c r="J73" t="s">
        <v>35</v>
      </c>
      <c r="K73" t="s">
        <v>36</v>
      </c>
      <c r="L73">
        <v>54787</v>
      </c>
      <c r="M73">
        <v>21.23</v>
      </c>
      <c r="N73">
        <v>14.65</v>
      </c>
      <c r="O73">
        <v>0</v>
      </c>
      <c r="P73" t="s">
        <v>26</v>
      </c>
      <c r="Q73" t="s">
        <v>27</v>
      </c>
      <c r="R73">
        <v>87.09</v>
      </c>
      <c r="S73">
        <v>32.68</v>
      </c>
      <c r="T73" t="s">
        <v>28</v>
      </c>
      <c r="U73" t="s">
        <v>28</v>
      </c>
      <c r="V73" t="s">
        <v>30</v>
      </c>
    </row>
    <row r="74" spans="1:22" x14ac:dyDescent="0.25">
      <c r="A74">
        <v>73</v>
      </c>
      <c r="B74" t="str">
        <f>HYPERLINK("https://imapinvasives.natureserve.org/imap/services/page/Presence/525699.html", "View")</f>
        <v>View</v>
      </c>
      <c r="C74">
        <v>525699</v>
      </c>
      <c r="D74">
        <v>525699</v>
      </c>
      <c r="E74" t="str">
        <f>HYPERLINK("http://imap3images.s3-website-us-east-1.amazonaws.com/525699/p/photourl1_2018_05_22_malkaletsch_cde624ll.jpg", "View")</f>
        <v>View</v>
      </c>
      <c r="F74" t="s">
        <v>22</v>
      </c>
      <c r="G74" t="s">
        <v>23</v>
      </c>
      <c r="H74">
        <v>57278</v>
      </c>
      <c r="I74" t="str">
        <f>HYPERLINK("https://www.inaturalist.org/taxa/601774-Ceiba-trischistandra", "View")</f>
        <v>View</v>
      </c>
      <c r="J74" t="s">
        <v>95</v>
      </c>
      <c r="K74" t="s">
        <v>72</v>
      </c>
      <c r="L74">
        <v>601774</v>
      </c>
      <c r="M74">
        <v>0</v>
      </c>
      <c r="N74">
        <v>17.52</v>
      </c>
      <c r="O74">
        <v>0</v>
      </c>
      <c r="P74" t="s">
        <v>26</v>
      </c>
      <c r="Q74" t="s">
        <v>27</v>
      </c>
      <c r="R74">
        <v>87.09</v>
      </c>
      <c r="S74">
        <v>32.68</v>
      </c>
      <c r="T74" t="s">
        <v>28</v>
      </c>
      <c r="U74" t="s">
        <v>28</v>
      </c>
      <c r="V74" t="s">
        <v>30</v>
      </c>
    </row>
    <row r="75" spans="1:22" x14ac:dyDescent="0.25">
      <c r="A75">
        <v>74</v>
      </c>
      <c r="B75" t="str">
        <f>HYPERLINK("https://imapinvasives.natureserve.org/imap/services/page/Presence/525700.html", "View")</f>
        <v>View</v>
      </c>
      <c r="C75">
        <v>525700</v>
      </c>
      <c r="D75">
        <v>525700</v>
      </c>
      <c r="E75" t="str">
        <f>HYPERLINK("http://imap3images.s3-website-us-east-1.amazonaws.com/525700/p/photourl1_2018_05_22_malkaletsch_rr3e6edj.jpg", "View")</f>
        <v>View</v>
      </c>
      <c r="F75" t="s">
        <v>22</v>
      </c>
      <c r="G75" t="s">
        <v>23</v>
      </c>
      <c r="H75">
        <v>57278</v>
      </c>
      <c r="I75" t="str">
        <f>HYPERLINK("https://www.inaturalist.org/taxa/54791-Carya-ovata", "View")</f>
        <v>View</v>
      </c>
      <c r="J75" t="s">
        <v>81</v>
      </c>
      <c r="K75" t="s">
        <v>82</v>
      </c>
      <c r="L75">
        <v>54791</v>
      </c>
      <c r="M75">
        <v>49.72</v>
      </c>
      <c r="N75">
        <v>13.26</v>
      </c>
      <c r="O75">
        <v>0</v>
      </c>
      <c r="P75" t="s">
        <v>26</v>
      </c>
      <c r="Q75" t="s">
        <v>27</v>
      </c>
      <c r="R75">
        <v>87.09</v>
      </c>
      <c r="S75">
        <v>32.68</v>
      </c>
      <c r="T75" t="s">
        <v>28</v>
      </c>
      <c r="U75" t="s">
        <v>29</v>
      </c>
      <c r="V75" t="s">
        <v>30</v>
      </c>
    </row>
    <row r="76" spans="1:22" x14ac:dyDescent="0.25">
      <c r="A76">
        <v>75</v>
      </c>
      <c r="B76" t="str">
        <f>HYPERLINK("https://imapinvasives.natureserve.org/imap/services/page/Presence/526286.html", "View")</f>
        <v>View</v>
      </c>
      <c r="C76">
        <v>526286</v>
      </c>
      <c r="D76">
        <v>526286</v>
      </c>
      <c r="E76" t="str">
        <f>HYPERLINK("http://imap3images.s3-website-us-east-1.amazonaws.com/526286/p/photourl1_2018_06_08_caskelm_e0resv0a.jpg", "View")</f>
        <v>View</v>
      </c>
      <c r="F76" t="s">
        <v>22</v>
      </c>
      <c r="G76" t="s">
        <v>23</v>
      </c>
      <c r="H76">
        <v>57278</v>
      </c>
      <c r="I76" t="s">
        <v>72</v>
      </c>
      <c r="J76" t="s">
        <v>72</v>
      </c>
      <c r="K76" t="s">
        <v>72</v>
      </c>
      <c r="L76" t="s">
        <v>72</v>
      </c>
      <c r="M76" t="s">
        <v>72</v>
      </c>
      <c r="N76" t="s">
        <v>72</v>
      </c>
      <c r="O76">
        <v>0</v>
      </c>
      <c r="P76" t="s">
        <v>26</v>
      </c>
      <c r="Q76" t="s">
        <v>27</v>
      </c>
      <c r="R76">
        <v>87.09</v>
      </c>
      <c r="S76">
        <v>32.68</v>
      </c>
      <c r="T76" t="s">
        <v>28</v>
      </c>
      <c r="U76" t="s">
        <v>28</v>
      </c>
      <c r="V76" t="s">
        <v>30</v>
      </c>
    </row>
    <row r="77" spans="1:22" x14ac:dyDescent="0.25">
      <c r="A77">
        <v>76</v>
      </c>
      <c r="B77" t="str">
        <f>HYPERLINK("https://imapinvasives.natureserve.org/imap/services/page/Presence/526598.html", "View")</f>
        <v>View</v>
      </c>
      <c r="C77">
        <v>526598</v>
      </c>
      <c r="D77">
        <v>526598</v>
      </c>
      <c r="E77" t="str">
        <f>HYPERLINK("http://imap3images.s3-website-us-east-1.amazonaws.com/526598/p/photourl1_2018_06_11_carmcmullen_1mzchlya.jpg", "View")</f>
        <v>View</v>
      </c>
      <c r="F77" t="s">
        <v>22</v>
      </c>
      <c r="G77" t="s">
        <v>23</v>
      </c>
      <c r="H77">
        <v>57278</v>
      </c>
      <c r="I77" t="str">
        <f>HYPERLINK("https://www.inaturalist.org/taxa/54504-Juglans-nigra", "View")</f>
        <v>View</v>
      </c>
      <c r="J77" t="s">
        <v>60</v>
      </c>
      <c r="K77" t="s">
        <v>61</v>
      </c>
      <c r="L77">
        <v>54504</v>
      </c>
      <c r="M77">
        <v>35.58</v>
      </c>
      <c r="N77">
        <v>84.88</v>
      </c>
      <c r="O77">
        <v>0</v>
      </c>
      <c r="P77" t="s">
        <v>26</v>
      </c>
      <c r="Q77" t="s">
        <v>27</v>
      </c>
      <c r="R77">
        <v>87.09</v>
      </c>
      <c r="S77">
        <v>32.68</v>
      </c>
      <c r="T77" t="s">
        <v>28</v>
      </c>
      <c r="U77" t="s">
        <v>29</v>
      </c>
      <c r="V77" t="s">
        <v>30</v>
      </c>
    </row>
    <row r="78" spans="1:22" x14ac:dyDescent="0.25">
      <c r="A78">
        <v>77</v>
      </c>
      <c r="B78" t="str">
        <f>HYPERLINK("https://imapinvasives.natureserve.org/imap/services/page/Presence/526605.html", "View")</f>
        <v>View</v>
      </c>
      <c r="C78">
        <v>526605</v>
      </c>
      <c r="D78">
        <v>526605</v>
      </c>
      <c r="E78" t="str">
        <f>HYPERLINK("http://imap3images.s3-website-us-east-1.amazonaws.com/526605/p/photourl1_2018_06_06_carmcmullen_rc9ittjr.jpg", "View")</f>
        <v>View</v>
      </c>
      <c r="F78" t="s">
        <v>22</v>
      </c>
      <c r="G78" t="s">
        <v>23</v>
      </c>
      <c r="H78">
        <v>57278</v>
      </c>
      <c r="I78" t="str">
        <f>HYPERLINK("https://www.inaturalist.org/taxa/56088-Robinia-pseudoacacia", "View")</f>
        <v>View</v>
      </c>
      <c r="J78" t="s">
        <v>68</v>
      </c>
      <c r="K78" t="s">
        <v>69</v>
      </c>
      <c r="L78">
        <v>56088</v>
      </c>
      <c r="M78">
        <v>30.58</v>
      </c>
      <c r="N78">
        <v>29.87</v>
      </c>
      <c r="O78">
        <v>0</v>
      </c>
      <c r="P78" t="s">
        <v>26</v>
      </c>
      <c r="Q78" t="s">
        <v>27</v>
      </c>
      <c r="R78">
        <v>87.09</v>
      </c>
      <c r="S78">
        <v>32.68</v>
      </c>
      <c r="T78" t="s">
        <v>28</v>
      </c>
      <c r="U78" t="s">
        <v>28</v>
      </c>
      <c r="V78" t="s">
        <v>30</v>
      </c>
    </row>
    <row r="79" spans="1:22" x14ac:dyDescent="0.25">
      <c r="A79">
        <v>78</v>
      </c>
      <c r="B79" t="str">
        <f>HYPERLINK("https://imapinvasives.natureserve.org/imap/services/page/Presence/526611.html", "View")</f>
        <v>View</v>
      </c>
      <c r="C79">
        <v>526611</v>
      </c>
      <c r="D79">
        <v>526611</v>
      </c>
      <c r="E79" t="str">
        <f>HYPERLINK("http://imap3images.s3-website-us-east-1.amazonaws.com/526611/p/photourl1_2018_06_04_carmcmullen_btw71uwj.jpg", "View")</f>
        <v>View</v>
      </c>
      <c r="F79" t="s">
        <v>22</v>
      </c>
      <c r="G79" t="s">
        <v>23</v>
      </c>
      <c r="H79">
        <v>57278</v>
      </c>
      <c r="I79" t="str">
        <f>HYPERLINK("https://www.inaturalist.org/taxa/127306-Wisteria-sinensis", "View")</f>
        <v>View</v>
      </c>
      <c r="J79" t="s">
        <v>96</v>
      </c>
      <c r="K79" t="s">
        <v>97</v>
      </c>
      <c r="L79">
        <v>127306</v>
      </c>
      <c r="M79">
        <v>0.69</v>
      </c>
      <c r="N79">
        <v>74.92</v>
      </c>
      <c r="O79">
        <v>0</v>
      </c>
      <c r="P79" t="s">
        <v>26</v>
      </c>
      <c r="Q79" t="s">
        <v>27</v>
      </c>
      <c r="R79">
        <v>87.09</v>
      </c>
      <c r="S79">
        <v>32.68</v>
      </c>
      <c r="T79" t="s">
        <v>28</v>
      </c>
      <c r="U79" t="s">
        <v>28</v>
      </c>
      <c r="V79" t="s">
        <v>30</v>
      </c>
    </row>
    <row r="80" spans="1:22" x14ac:dyDescent="0.25">
      <c r="A80">
        <v>79</v>
      </c>
      <c r="B80" t="str">
        <f>HYPERLINK("https://imapinvasives.natureserve.org/imap/services/page/Presence/526639.html", "View")</f>
        <v>View</v>
      </c>
      <c r="C80">
        <v>526639</v>
      </c>
      <c r="D80">
        <v>526639</v>
      </c>
      <c r="E80" t="s">
        <v>98</v>
      </c>
      <c r="F80" t="s">
        <v>22</v>
      </c>
      <c r="G80" t="s">
        <v>23</v>
      </c>
      <c r="H80">
        <v>57278</v>
      </c>
      <c r="I80" t="s">
        <v>72</v>
      </c>
      <c r="J80" t="s">
        <v>72</v>
      </c>
      <c r="K80" t="s">
        <v>72</v>
      </c>
      <c r="L80" t="s">
        <v>72</v>
      </c>
      <c r="M80" t="s">
        <v>72</v>
      </c>
      <c r="N80" t="s">
        <v>72</v>
      </c>
      <c r="O80">
        <v>0</v>
      </c>
      <c r="P80" t="s">
        <v>26</v>
      </c>
      <c r="Q80" t="s">
        <v>27</v>
      </c>
      <c r="R80">
        <v>87.09</v>
      </c>
      <c r="S80">
        <v>32.68</v>
      </c>
      <c r="T80" t="s">
        <v>28</v>
      </c>
      <c r="U80" t="s">
        <v>28</v>
      </c>
      <c r="V80" t="s">
        <v>30</v>
      </c>
    </row>
    <row r="81" spans="1:22" x14ac:dyDescent="0.25">
      <c r="A81">
        <v>80</v>
      </c>
      <c r="B81" t="str">
        <f>HYPERLINK("https://imapinvasives.natureserve.org/imap/services/page/Presence/527121.html", "View")</f>
        <v>View</v>
      </c>
      <c r="C81">
        <v>527121</v>
      </c>
      <c r="D81">
        <v>527121</v>
      </c>
      <c r="E81" t="str">
        <f>HYPERLINK("http://imap3images.s3-website-us-east-1.amazonaws.com/527121/p/photourl1_2018_06_18_malkaletsch_dnzfnmui.jpg", "View")</f>
        <v>View</v>
      </c>
      <c r="F81" t="s">
        <v>22</v>
      </c>
      <c r="G81" t="s">
        <v>23</v>
      </c>
      <c r="H81">
        <v>57278</v>
      </c>
      <c r="I81" t="str">
        <f>HYPERLINK("https://www.inaturalist.org/taxa/54763-Acer-platanoides", "View")</f>
        <v>View</v>
      </c>
      <c r="J81" t="s">
        <v>91</v>
      </c>
      <c r="K81" t="s">
        <v>92</v>
      </c>
      <c r="L81">
        <v>54763</v>
      </c>
      <c r="M81">
        <v>45.4</v>
      </c>
      <c r="N81">
        <v>19.600000000000001</v>
      </c>
      <c r="O81">
        <v>0</v>
      </c>
      <c r="P81" t="s">
        <v>26</v>
      </c>
      <c r="Q81" t="s">
        <v>27</v>
      </c>
      <c r="R81">
        <v>87.09</v>
      </c>
      <c r="S81">
        <v>32.68</v>
      </c>
      <c r="T81" t="s">
        <v>28</v>
      </c>
      <c r="U81" t="s">
        <v>29</v>
      </c>
      <c r="V81" t="s">
        <v>30</v>
      </c>
    </row>
    <row r="82" spans="1:22" x14ac:dyDescent="0.25">
      <c r="A82">
        <v>81</v>
      </c>
      <c r="B82" t="str">
        <f>HYPERLINK("https://imapinvasives.natureserve.org/imap/services/page/Presence/527119.html", "View")</f>
        <v>View</v>
      </c>
      <c r="C82">
        <v>527119</v>
      </c>
      <c r="D82">
        <v>527119</v>
      </c>
      <c r="E82" t="str">
        <f>HYPERLINK("http://imap3images.s3-website-us-east-1.amazonaws.com/527119/p/photourl1_2018_06_20_kaykraker_m7vifnkb.jpg", "View")</f>
        <v>View</v>
      </c>
      <c r="F82" t="s">
        <v>22</v>
      </c>
      <c r="G82" t="s">
        <v>23</v>
      </c>
      <c r="H82">
        <v>57278</v>
      </c>
      <c r="I82" t="str">
        <f>HYPERLINK("https://www.inaturalist.org/taxa/54504-Juglans-nigra", "View")</f>
        <v>View</v>
      </c>
      <c r="J82" t="s">
        <v>60</v>
      </c>
      <c r="K82" t="s">
        <v>61</v>
      </c>
      <c r="L82">
        <v>54504</v>
      </c>
      <c r="M82">
        <v>66.930000000000007</v>
      </c>
      <c r="N82">
        <v>93.1</v>
      </c>
      <c r="O82">
        <v>0</v>
      </c>
      <c r="P82" t="s">
        <v>26</v>
      </c>
      <c r="Q82" t="s">
        <v>27</v>
      </c>
      <c r="R82">
        <v>87.09</v>
      </c>
      <c r="S82">
        <v>32.68</v>
      </c>
      <c r="T82" t="s">
        <v>29</v>
      </c>
      <c r="U82" t="s">
        <v>29</v>
      </c>
      <c r="V82" t="s">
        <v>30</v>
      </c>
    </row>
    <row r="83" spans="1:22" x14ac:dyDescent="0.25">
      <c r="A83">
        <v>82</v>
      </c>
      <c r="B83" t="str">
        <f>HYPERLINK("https://imapinvasives.natureserve.org/imap/services/page/Presence/527392.html", "View")</f>
        <v>View</v>
      </c>
      <c r="C83">
        <v>527392</v>
      </c>
      <c r="D83">
        <v>527392</v>
      </c>
      <c r="E83" t="str">
        <f>HYPERLINK("http://imap3images.s3-website-us-east-1.amazonaws.com/527392/p/photourl1_2018_06_22_tayconte_5uz4zkwf.jpg", "View")</f>
        <v>View</v>
      </c>
      <c r="F83" t="s">
        <v>22</v>
      </c>
      <c r="G83" t="s">
        <v>23</v>
      </c>
      <c r="H83">
        <v>57278</v>
      </c>
      <c r="I83" t="str">
        <f>HYPERLINK("https://www.inaturalist.org/taxa/54797-Gleditsia-triacanthos", "View")</f>
        <v>View</v>
      </c>
      <c r="J83" t="s">
        <v>99</v>
      </c>
      <c r="K83" t="s">
        <v>100</v>
      </c>
      <c r="L83">
        <v>54797</v>
      </c>
      <c r="M83">
        <v>10.37</v>
      </c>
      <c r="N83">
        <v>78.42</v>
      </c>
      <c r="O83">
        <v>0</v>
      </c>
      <c r="P83" t="s">
        <v>26</v>
      </c>
      <c r="Q83" t="s">
        <v>27</v>
      </c>
      <c r="R83">
        <v>87.09</v>
      </c>
      <c r="S83">
        <v>32.68</v>
      </c>
      <c r="T83" t="s">
        <v>28</v>
      </c>
      <c r="U83" t="s">
        <v>28</v>
      </c>
      <c r="V83" t="s">
        <v>30</v>
      </c>
    </row>
    <row r="84" spans="1:22" x14ac:dyDescent="0.25">
      <c r="A84">
        <v>83</v>
      </c>
      <c r="B84" t="str">
        <f>HYPERLINK("https://imapinvasives.natureserve.org/imap/services/page/Presence/528027.html", "View")</f>
        <v>View</v>
      </c>
      <c r="C84">
        <v>528027</v>
      </c>
      <c r="D84">
        <v>528027</v>
      </c>
      <c r="E84" t="str">
        <f>HYPERLINK("http://imap3images.s3-website-us-east-1.amazonaws.com/528027/p/photourl1_2018_07_03_stedimeglio_2o83vyk2.jpg", "View")</f>
        <v>View</v>
      </c>
      <c r="F84" t="s">
        <v>22</v>
      </c>
      <c r="G84" t="s">
        <v>23</v>
      </c>
      <c r="H84">
        <v>57278</v>
      </c>
      <c r="I84" t="str">
        <f>HYPERLINK("https://www.inaturalist.org/taxa/47726-Acer-negundo", "View")</f>
        <v>View</v>
      </c>
      <c r="J84" t="s">
        <v>31</v>
      </c>
      <c r="K84" t="s">
        <v>32</v>
      </c>
      <c r="L84">
        <v>47726</v>
      </c>
      <c r="M84">
        <v>23.23</v>
      </c>
      <c r="N84">
        <v>4.83</v>
      </c>
      <c r="O84">
        <v>0</v>
      </c>
      <c r="P84" t="s">
        <v>26</v>
      </c>
      <c r="Q84" t="s">
        <v>27</v>
      </c>
      <c r="R84">
        <v>87.09</v>
      </c>
      <c r="S84">
        <v>32.68</v>
      </c>
      <c r="T84" t="s">
        <v>28</v>
      </c>
      <c r="U84" t="s">
        <v>28</v>
      </c>
      <c r="V84" t="s">
        <v>30</v>
      </c>
    </row>
    <row r="85" spans="1:22" x14ac:dyDescent="0.25">
      <c r="A85">
        <v>84</v>
      </c>
      <c r="B85" t="str">
        <f>HYPERLINK("https://imapinvasives.natureserve.org/imap/services/page/Presence/528055.html", "View")</f>
        <v>View</v>
      </c>
      <c r="C85">
        <v>528055</v>
      </c>
      <c r="D85">
        <v>528055</v>
      </c>
      <c r="E85" t="str">
        <f>HYPERLINK("http://imap3images.s3-website-us-east-1.amazonaws.com/528055/p/photourl1_2018_07_05_tayconte_nw5s8g3x.jpg", "View")</f>
        <v>View</v>
      </c>
      <c r="F85" t="s">
        <v>22</v>
      </c>
      <c r="G85" t="s">
        <v>23</v>
      </c>
      <c r="H85">
        <v>57278</v>
      </c>
      <c r="I85" t="str">
        <f>HYPERLINK("https://www.inaturalist.org/taxa/874491-Paubrasilia-echinata", "View")</f>
        <v>View</v>
      </c>
      <c r="J85" t="s">
        <v>101</v>
      </c>
      <c r="K85" t="s">
        <v>102</v>
      </c>
      <c r="L85">
        <v>874491</v>
      </c>
      <c r="M85">
        <v>0</v>
      </c>
      <c r="N85">
        <v>7.09</v>
      </c>
      <c r="O85">
        <v>0</v>
      </c>
      <c r="P85" t="s">
        <v>26</v>
      </c>
      <c r="Q85" t="s">
        <v>27</v>
      </c>
      <c r="R85">
        <v>87.09</v>
      </c>
      <c r="S85">
        <v>32.68</v>
      </c>
      <c r="T85" t="s">
        <v>28</v>
      </c>
      <c r="U85" t="s">
        <v>28</v>
      </c>
      <c r="V85" t="s">
        <v>30</v>
      </c>
    </row>
    <row r="86" spans="1:22" x14ac:dyDescent="0.25">
      <c r="A86">
        <v>85</v>
      </c>
      <c r="B86" t="str">
        <f>HYPERLINK("https://imapinvasives.natureserve.org/imap/services/page/Presence/528269.html", "View")</f>
        <v>View</v>
      </c>
      <c r="C86">
        <v>528269</v>
      </c>
      <c r="D86">
        <v>528269</v>
      </c>
      <c r="E86" t="str">
        <f>HYPERLINK("http://imap3images.s3-website-us-east-1.amazonaws.com/528269/p/photourl1_2018_07_03_josstaluppi_g0kqg932.jpg", "View")</f>
        <v>View</v>
      </c>
      <c r="F86" t="s">
        <v>22</v>
      </c>
      <c r="G86" t="s">
        <v>23</v>
      </c>
      <c r="H86">
        <v>57278</v>
      </c>
      <c r="I86" t="str">
        <f>HYPERLINK("https://www.inaturalist.org/taxa/53945-Styphnolobium-japonicum", "View")</f>
        <v>View</v>
      </c>
      <c r="J86" t="s">
        <v>103</v>
      </c>
      <c r="K86" t="s">
        <v>104</v>
      </c>
      <c r="L86">
        <v>53945</v>
      </c>
      <c r="M86">
        <v>52.09</v>
      </c>
      <c r="N86">
        <v>15.87</v>
      </c>
      <c r="O86">
        <v>0</v>
      </c>
      <c r="P86" t="s">
        <v>26</v>
      </c>
      <c r="Q86" t="s">
        <v>27</v>
      </c>
      <c r="R86">
        <v>87.09</v>
      </c>
      <c r="S86">
        <v>32.68</v>
      </c>
      <c r="T86" t="s">
        <v>28</v>
      </c>
      <c r="U86" t="s">
        <v>29</v>
      </c>
      <c r="V86" t="s">
        <v>30</v>
      </c>
    </row>
    <row r="87" spans="1:22" x14ac:dyDescent="0.25">
      <c r="A87">
        <v>86</v>
      </c>
      <c r="B87" t="str">
        <f>HYPERLINK("https://imapinvasives.natureserve.org/imap/services/page/Presence/528271.html", "View")</f>
        <v>View</v>
      </c>
      <c r="C87">
        <v>528271</v>
      </c>
      <c r="D87">
        <v>528271</v>
      </c>
      <c r="E87" t="str">
        <f>HYPERLINK("http://imap3images.s3-website-us-east-1.amazonaws.com/528271/p/photourl1_2018_07_03_josstaluppi_5gfhanvg.jpg", "View")</f>
        <v>View</v>
      </c>
      <c r="F87" t="s">
        <v>22</v>
      </c>
      <c r="G87" t="s">
        <v>23</v>
      </c>
      <c r="H87">
        <v>57278</v>
      </c>
      <c r="I87" t="str">
        <f>HYPERLINK("https://www.inaturalist.org/taxa/54504-Juglans-nigra", "View")</f>
        <v>View</v>
      </c>
      <c r="J87" t="s">
        <v>60</v>
      </c>
      <c r="K87" t="s">
        <v>61</v>
      </c>
      <c r="L87">
        <v>54504</v>
      </c>
      <c r="M87">
        <v>84.69</v>
      </c>
      <c r="N87">
        <v>77.510000000000005</v>
      </c>
      <c r="O87">
        <v>0</v>
      </c>
      <c r="P87" t="s">
        <v>26</v>
      </c>
      <c r="Q87" t="s">
        <v>27</v>
      </c>
      <c r="R87">
        <v>87.09</v>
      </c>
      <c r="S87">
        <v>32.68</v>
      </c>
      <c r="T87" t="s">
        <v>28</v>
      </c>
      <c r="U87" t="s">
        <v>29</v>
      </c>
      <c r="V87" t="s">
        <v>30</v>
      </c>
    </row>
    <row r="88" spans="1:22" x14ac:dyDescent="0.25">
      <c r="A88">
        <v>87</v>
      </c>
      <c r="B88" t="str">
        <f>HYPERLINK("https://imapinvasives.natureserve.org/imap/services/page/Presence/528577.html", "View")</f>
        <v>View</v>
      </c>
      <c r="C88">
        <v>528577</v>
      </c>
      <c r="D88">
        <v>528577</v>
      </c>
      <c r="E88" t="s">
        <v>98</v>
      </c>
      <c r="F88" t="s">
        <v>22</v>
      </c>
      <c r="G88" t="s">
        <v>23</v>
      </c>
      <c r="H88">
        <v>57278</v>
      </c>
      <c r="I88" t="s">
        <v>72</v>
      </c>
      <c r="J88" t="s">
        <v>72</v>
      </c>
      <c r="K88" t="s">
        <v>72</v>
      </c>
      <c r="L88" t="s">
        <v>72</v>
      </c>
      <c r="M88" t="s">
        <v>72</v>
      </c>
      <c r="N88" t="s">
        <v>72</v>
      </c>
      <c r="O88">
        <v>0</v>
      </c>
      <c r="P88" t="s">
        <v>26</v>
      </c>
      <c r="Q88" t="s">
        <v>27</v>
      </c>
      <c r="R88">
        <v>87.09</v>
      </c>
      <c r="S88">
        <v>32.68</v>
      </c>
      <c r="T88" t="s">
        <v>28</v>
      </c>
      <c r="U88" t="s">
        <v>28</v>
      </c>
      <c r="V88" t="s">
        <v>30</v>
      </c>
    </row>
    <row r="89" spans="1:22" x14ac:dyDescent="0.25">
      <c r="A89">
        <v>88</v>
      </c>
      <c r="B89" t="str">
        <f>HYPERLINK("https://imapinvasives.natureserve.org/imap/services/page/Presence/528584.html", "View")</f>
        <v>View</v>
      </c>
      <c r="C89">
        <v>528584</v>
      </c>
      <c r="D89">
        <v>528584</v>
      </c>
      <c r="E89" t="str">
        <f>HYPERLINK("http://imap3images.s3-website-us-east-1.amazonaws.com/528584/p/photourl1_2018_07_16_carmcmullen_id3p8zc0.jpg", "View")</f>
        <v>View</v>
      </c>
      <c r="F89" t="s">
        <v>22</v>
      </c>
      <c r="G89" t="s">
        <v>23</v>
      </c>
      <c r="H89">
        <v>57278</v>
      </c>
      <c r="I89" t="str">
        <f>HYPERLINK("https://www.inaturalist.org/taxa/54797-Gleditsia-triacanthos", "View")</f>
        <v>View</v>
      </c>
      <c r="J89" t="s">
        <v>99</v>
      </c>
      <c r="K89" t="s">
        <v>100</v>
      </c>
      <c r="L89">
        <v>54797</v>
      </c>
      <c r="M89">
        <v>21.76</v>
      </c>
      <c r="N89">
        <v>70.45</v>
      </c>
      <c r="O89">
        <v>0</v>
      </c>
      <c r="P89" t="s">
        <v>26</v>
      </c>
      <c r="Q89" t="s">
        <v>27</v>
      </c>
      <c r="R89">
        <v>87.09</v>
      </c>
      <c r="S89">
        <v>32.68</v>
      </c>
      <c r="T89" t="s">
        <v>28</v>
      </c>
      <c r="U89" t="s">
        <v>28</v>
      </c>
      <c r="V89" t="s">
        <v>30</v>
      </c>
    </row>
    <row r="90" spans="1:22" x14ac:dyDescent="0.25">
      <c r="A90">
        <v>89</v>
      </c>
      <c r="B90" t="str">
        <f>HYPERLINK("https://imapinvasives.natureserve.org/imap/services/page/Presence/529467.html", "View")</f>
        <v>View</v>
      </c>
      <c r="C90">
        <v>529467</v>
      </c>
      <c r="D90">
        <v>529467</v>
      </c>
      <c r="E90" t="s">
        <v>98</v>
      </c>
      <c r="F90" t="s">
        <v>22</v>
      </c>
      <c r="G90" t="s">
        <v>23</v>
      </c>
      <c r="H90">
        <v>57278</v>
      </c>
      <c r="I90" t="s">
        <v>72</v>
      </c>
      <c r="J90" t="s">
        <v>72</v>
      </c>
      <c r="K90" t="s">
        <v>72</v>
      </c>
      <c r="L90" t="s">
        <v>72</v>
      </c>
      <c r="M90" t="s">
        <v>72</v>
      </c>
      <c r="N90" t="s">
        <v>72</v>
      </c>
      <c r="O90">
        <v>0</v>
      </c>
      <c r="P90" t="s">
        <v>26</v>
      </c>
      <c r="Q90" t="s">
        <v>27</v>
      </c>
      <c r="R90">
        <v>87.09</v>
      </c>
      <c r="S90">
        <v>32.68</v>
      </c>
      <c r="T90" t="s">
        <v>28</v>
      </c>
      <c r="U90" t="s">
        <v>28</v>
      </c>
      <c r="V90" t="s">
        <v>30</v>
      </c>
    </row>
    <row r="91" spans="1:22" x14ac:dyDescent="0.25">
      <c r="A91">
        <v>90</v>
      </c>
      <c r="B91" t="str">
        <f>HYPERLINK("https://imapinvasives.natureserve.org/imap/services/page/Presence/529468.html", "View")</f>
        <v>View</v>
      </c>
      <c r="C91">
        <v>529468</v>
      </c>
      <c r="D91">
        <v>529468</v>
      </c>
      <c r="E91" t="s">
        <v>98</v>
      </c>
      <c r="F91" t="s">
        <v>22</v>
      </c>
      <c r="G91" t="s">
        <v>23</v>
      </c>
      <c r="H91">
        <v>57278</v>
      </c>
      <c r="I91" t="s">
        <v>72</v>
      </c>
      <c r="J91" t="s">
        <v>72</v>
      </c>
      <c r="K91" t="s">
        <v>72</v>
      </c>
      <c r="L91" t="s">
        <v>72</v>
      </c>
      <c r="M91" t="s">
        <v>72</v>
      </c>
      <c r="N91" t="s">
        <v>72</v>
      </c>
      <c r="O91">
        <v>0</v>
      </c>
      <c r="P91" t="s">
        <v>26</v>
      </c>
      <c r="Q91" t="s">
        <v>27</v>
      </c>
      <c r="R91">
        <v>87.09</v>
      </c>
      <c r="S91">
        <v>32.68</v>
      </c>
      <c r="T91" t="s">
        <v>28</v>
      </c>
      <c r="U91" t="s">
        <v>28</v>
      </c>
      <c r="V91" t="s">
        <v>30</v>
      </c>
    </row>
    <row r="92" spans="1:22" x14ac:dyDescent="0.25">
      <c r="A92">
        <v>91</v>
      </c>
      <c r="B92" t="str">
        <f>HYPERLINK("https://imapinvasives.natureserve.org/imap/services/page/Presence/530198.html", "View")</f>
        <v>View</v>
      </c>
      <c r="C92">
        <v>530198</v>
      </c>
      <c r="D92">
        <v>530198</v>
      </c>
      <c r="E92" t="str">
        <f>HYPERLINK("http://imap3images.s3-website-us-east-1.amazonaws.com/530198/p/photourl1_2018_08_20_devgorsen_k6ovo4ww.jpg", "View")</f>
        <v>View</v>
      </c>
      <c r="F92" t="s">
        <v>22</v>
      </c>
      <c r="G92" t="s">
        <v>23</v>
      </c>
      <c r="H92">
        <v>57278</v>
      </c>
      <c r="I92" t="s">
        <v>72</v>
      </c>
      <c r="J92" t="s">
        <v>72</v>
      </c>
      <c r="K92" t="s">
        <v>72</v>
      </c>
      <c r="L92" t="s">
        <v>72</v>
      </c>
      <c r="M92" t="s">
        <v>72</v>
      </c>
      <c r="N92" t="s">
        <v>72</v>
      </c>
      <c r="O92">
        <v>0</v>
      </c>
      <c r="P92" t="s">
        <v>26</v>
      </c>
      <c r="Q92" t="s">
        <v>27</v>
      </c>
      <c r="R92">
        <v>87.09</v>
      </c>
      <c r="S92">
        <v>32.68</v>
      </c>
      <c r="T92" t="s">
        <v>28</v>
      </c>
      <c r="U92" t="s">
        <v>28</v>
      </c>
      <c r="V92" t="s">
        <v>30</v>
      </c>
    </row>
    <row r="93" spans="1:22" x14ac:dyDescent="0.25">
      <c r="A93">
        <v>92</v>
      </c>
      <c r="B93" t="str">
        <f>HYPERLINK("https://imapinvasives.natureserve.org/imap/services/page/Presence/530199.html", "View")</f>
        <v>View</v>
      </c>
      <c r="C93">
        <v>530199</v>
      </c>
      <c r="D93">
        <v>530199</v>
      </c>
      <c r="E93" t="str">
        <f>HYPERLINK("http://imap3images.s3-website-us-east-1.amazonaws.com/530199/p/photourl1_2018_08_20_devgorsen_4xmfc439.jpg", "View")</f>
        <v>View</v>
      </c>
      <c r="F93" t="s">
        <v>22</v>
      </c>
      <c r="G93" t="s">
        <v>23</v>
      </c>
      <c r="H93">
        <v>57278</v>
      </c>
      <c r="I93" t="str">
        <f>HYPERLINK("https://www.inaturalist.org/taxa/57278-Ailanthus-altissima", "View")</f>
        <v>View</v>
      </c>
      <c r="J93" t="s">
        <v>22</v>
      </c>
      <c r="K93" t="s">
        <v>39</v>
      </c>
      <c r="L93">
        <v>57278</v>
      </c>
      <c r="M93">
        <v>88.91</v>
      </c>
      <c r="N93">
        <v>85.86</v>
      </c>
      <c r="O93">
        <v>1</v>
      </c>
      <c r="P93" t="s">
        <v>40</v>
      </c>
      <c r="Q93" t="s">
        <v>27</v>
      </c>
      <c r="R93">
        <v>87.09</v>
      </c>
      <c r="S93">
        <v>32.68</v>
      </c>
      <c r="T93" t="s">
        <v>28</v>
      </c>
      <c r="U93" t="s">
        <v>29</v>
      </c>
      <c r="V93" t="s">
        <v>30</v>
      </c>
    </row>
    <row r="94" spans="1:22" x14ac:dyDescent="0.25">
      <c r="A94">
        <v>93</v>
      </c>
      <c r="B94" t="str">
        <f>HYPERLINK("https://imapinvasives.natureserve.org/imap/services/page/Presence/530214.html", "View")</f>
        <v>View</v>
      </c>
      <c r="C94">
        <v>530214</v>
      </c>
      <c r="D94">
        <v>530214</v>
      </c>
      <c r="E94" t="s">
        <v>98</v>
      </c>
      <c r="F94" t="s">
        <v>22</v>
      </c>
      <c r="G94" t="s">
        <v>23</v>
      </c>
      <c r="H94">
        <v>57278</v>
      </c>
      <c r="I94" t="s">
        <v>72</v>
      </c>
      <c r="J94" t="s">
        <v>72</v>
      </c>
      <c r="K94" t="s">
        <v>72</v>
      </c>
      <c r="L94" t="s">
        <v>72</v>
      </c>
      <c r="M94" t="s">
        <v>72</v>
      </c>
      <c r="N94" t="s">
        <v>72</v>
      </c>
      <c r="O94">
        <v>0</v>
      </c>
      <c r="P94" t="s">
        <v>26</v>
      </c>
      <c r="Q94" t="s">
        <v>27</v>
      </c>
      <c r="R94">
        <v>87.09</v>
      </c>
      <c r="S94">
        <v>32.68</v>
      </c>
      <c r="T94" t="s">
        <v>28</v>
      </c>
      <c r="U94" t="s">
        <v>28</v>
      </c>
      <c r="V94" t="s">
        <v>30</v>
      </c>
    </row>
    <row r="95" spans="1:22" x14ac:dyDescent="0.25">
      <c r="A95">
        <v>94</v>
      </c>
      <c r="B95" t="str">
        <f>HYPERLINK("https://imapinvasives.natureserve.org/imap/services/page/Presence/531649.html", "View")</f>
        <v>View</v>
      </c>
      <c r="C95">
        <v>531649</v>
      </c>
      <c r="D95">
        <v>531649</v>
      </c>
      <c r="E95" t="str">
        <f>HYPERLINK("http://imap3images.s3-website-us-east-1.amazonaws.com/531649/p/photourl2_2018_09_28_laumartin_llz7w65u.jpg", "View")</f>
        <v>View</v>
      </c>
      <c r="F95" t="s">
        <v>22</v>
      </c>
      <c r="G95" t="s">
        <v>23</v>
      </c>
      <c r="H95">
        <v>57278</v>
      </c>
      <c r="I95" t="str">
        <f>HYPERLINK("https://www.inaturalist.org/taxa/57278-Ailanthus-altissima", "View")</f>
        <v>View</v>
      </c>
      <c r="J95" t="s">
        <v>22</v>
      </c>
      <c r="K95" t="s">
        <v>39</v>
      </c>
      <c r="L95">
        <v>57278</v>
      </c>
      <c r="M95">
        <v>67.39</v>
      </c>
      <c r="N95">
        <v>81.239999999999995</v>
      </c>
      <c r="O95">
        <v>1</v>
      </c>
      <c r="P95" t="s">
        <v>40</v>
      </c>
      <c r="Q95" t="s">
        <v>27</v>
      </c>
      <c r="R95">
        <v>87.09</v>
      </c>
      <c r="S95">
        <v>32.68</v>
      </c>
      <c r="T95" t="s">
        <v>28</v>
      </c>
      <c r="U95" t="s">
        <v>29</v>
      </c>
      <c r="V95" t="s">
        <v>30</v>
      </c>
    </row>
    <row r="96" spans="1:22" x14ac:dyDescent="0.25">
      <c r="A96">
        <v>95</v>
      </c>
      <c r="B96" t="str">
        <f>HYPERLINK("https://imapinvasives.natureserve.org/imap/services/page/Presence/531650.html", "View")</f>
        <v>View</v>
      </c>
      <c r="C96">
        <v>531650</v>
      </c>
      <c r="D96">
        <v>531650</v>
      </c>
      <c r="E96" t="str">
        <f>HYPERLINK("http://imap3images.s3-website-us-east-1.amazonaws.com/531650/p/photourl2_2018_09_28_laumartin_co15a7xr.jpg", "View")</f>
        <v>View</v>
      </c>
      <c r="F96" t="s">
        <v>22</v>
      </c>
      <c r="G96" t="s">
        <v>23</v>
      </c>
      <c r="H96">
        <v>57278</v>
      </c>
      <c r="I96" t="str">
        <f>HYPERLINK("https://www.inaturalist.org/taxa/167829-Rhus-typhina", "View")</f>
        <v>View</v>
      </c>
      <c r="J96" t="s">
        <v>48</v>
      </c>
      <c r="K96" t="s">
        <v>49</v>
      </c>
      <c r="L96">
        <v>167829</v>
      </c>
      <c r="M96">
        <v>68.459999999999994</v>
      </c>
      <c r="N96">
        <v>65.59</v>
      </c>
      <c r="O96">
        <v>0</v>
      </c>
      <c r="P96" t="s">
        <v>26</v>
      </c>
      <c r="Q96" t="s">
        <v>27</v>
      </c>
      <c r="R96">
        <v>87.09</v>
      </c>
      <c r="S96">
        <v>32.68</v>
      </c>
      <c r="T96" t="s">
        <v>28</v>
      </c>
      <c r="U96" t="s">
        <v>29</v>
      </c>
      <c r="V96" t="s">
        <v>30</v>
      </c>
    </row>
    <row r="97" spans="1:22" x14ac:dyDescent="0.25">
      <c r="A97">
        <v>96</v>
      </c>
      <c r="B97" t="str">
        <f>HYPERLINK("https://imapinvasives.natureserve.org/imap/services/page/Presence/531651.html", "View")</f>
        <v>View</v>
      </c>
      <c r="C97">
        <v>531651</v>
      </c>
      <c r="D97">
        <v>531651</v>
      </c>
      <c r="E97" t="str">
        <f>HYPERLINK("http://imap3images.s3-website-us-east-1.amazonaws.com/531651/p/photourl2_2018_09_28_laumartin_4b0ljec9.jpg", "View")</f>
        <v>View</v>
      </c>
      <c r="F97" t="s">
        <v>22</v>
      </c>
      <c r="G97" t="s">
        <v>23</v>
      </c>
      <c r="H97">
        <v>57278</v>
      </c>
      <c r="I97" t="str">
        <f>HYPERLINK("https://www.inaturalist.org/taxa/57278-Ailanthus-altissima", "View")</f>
        <v>View</v>
      </c>
      <c r="J97" t="s">
        <v>22</v>
      </c>
      <c r="K97" t="s">
        <v>39</v>
      </c>
      <c r="L97">
        <v>57278</v>
      </c>
      <c r="M97">
        <v>67.39</v>
      </c>
      <c r="N97">
        <v>57.98</v>
      </c>
      <c r="O97">
        <v>1</v>
      </c>
      <c r="P97" t="s">
        <v>40</v>
      </c>
      <c r="Q97" t="s">
        <v>27</v>
      </c>
      <c r="R97">
        <v>87.09</v>
      </c>
      <c r="S97">
        <v>32.68</v>
      </c>
      <c r="T97" t="s">
        <v>28</v>
      </c>
      <c r="U97" t="s">
        <v>29</v>
      </c>
      <c r="V97" t="s">
        <v>30</v>
      </c>
    </row>
    <row r="98" spans="1:22" x14ac:dyDescent="0.25">
      <c r="A98">
        <v>97</v>
      </c>
      <c r="B98" t="str">
        <f>HYPERLINK("https://imapinvasives.natureserve.org/imap/services/page/Presence/531652.html", "View")</f>
        <v>View</v>
      </c>
      <c r="C98">
        <v>531652</v>
      </c>
      <c r="D98">
        <v>531652</v>
      </c>
      <c r="E98" t="str">
        <f>HYPERLINK("http://imap3images.s3-website-us-east-1.amazonaws.com/531652/p/photourl2_2018_09_28_laumartin_a577q0yx.jpg", "View")</f>
        <v>View</v>
      </c>
      <c r="F98" t="s">
        <v>22</v>
      </c>
      <c r="G98" t="s">
        <v>23</v>
      </c>
      <c r="H98">
        <v>57278</v>
      </c>
      <c r="I98" t="str">
        <f>HYPERLINK("https://www.inaturalist.org/taxa/54792-Juglans-cinerea", "View")</f>
        <v>View</v>
      </c>
      <c r="J98" t="s">
        <v>42</v>
      </c>
      <c r="K98" t="s">
        <v>43</v>
      </c>
      <c r="L98">
        <v>54792</v>
      </c>
      <c r="M98">
        <v>14.54</v>
      </c>
      <c r="N98">
        <v>64.36</v>
      </c>
      <c r="O98">
        <v>0</v>
      </c>
      <c r="P98" t="s">
        <v>26</v>
      </c>
      <c r="Q98" t="s">
        <v>27</v>
      </c>
      <c r="R98">
        <v>87.09</v>
      </c>
      <c r="S98">
        <v>32.68</v>
      </c>
      <c r="T98" t="s">
        <v>28</v>
      </c>
      <c r="U98" t="s">
        <v>28</v>
      </c>
      <c r="V98" t="s">
        <v>30</v>
      </c>
    </row>
    <row r="99" spans="1:22" x14ac:dyDescent="0.25">
      <c r="A99">
        <v>98</v>
      </c>
      <c r="B99" t="str">
        <f>HYPERLINK("https://imapinvasives.natureserve.org/imap/services/page/Presence/531653.html", "View")</f>
        <v>View</v>
      </c>
      <c r="C99">
        <v>531653</v>
      </c>
      <c r="D99">
        <v>531653</v>
      </c>
      <c r="E99" t="str">
        <f>HYPERLINK("http://imap3images.s3-website-us-east-1.amazonaws.com/531653/p/photourl1_2018_09_28_laumartin_8mh62kyk.jpg", "View")</f>
        <v>View</v>
      </c>
      <c r="F99" t="s">
        <v>22</v>
      </c>
      <c r="G99" t="s">
        <v>23</v>
      </c>
      <c r="H99">
        <v>57278</v>
      </c>
      <c r="I99" t="str">
        <f>HYPERLINK("https://www.inaturalist.org/taxa/57278-Ailanthus-altissima", "View")</f>
        <v>View</v>
      </c>
      <c r="J99" t="s">
        <v>22</v>
      </c>
      <c r="K99" t="s">
        <v>39</v>
      </c>
      <c r="L99">
        <v>57278</v>
      </c>
      <c r="M99">
        <v>67.39</v>
      </c>
      <c r="N99">
        <v>22.84</v>
      </c>
      <c r="O99">
        <v>1</v>
      </c>
      <c r="P99" t="s">
        <v>40</v>
      </c>
      <c r="Q99" t="s">
        <v>27</v>
      </c>
      <c r="R99">
        <v>87.09</v>
      </c>
      <c r="S99">
        <v>32.68</v>
      </c>
      <c r="T99" t="s">
        <v>28</v>
      </c>
      <c r="U99" t="s">
        <v>29</v>
      </c>
      <c r="V99" t="s">
        <v>30</v>
      </c>
    </row>
    <row r="100" spans="1:22" x14ac:dyDescent="0.25">
      <c r="A100">
        <v>99</v>
      </c>
      <c r="B100" t="str">
        <f>HYPERLINK("https://imapinvasives.natureserve.org/imap/services/page/Presence/531716.html", "View")</f>
        <v>View</v>
      </c>
      <c r="C100">
        <v>531716</v>
      </c>
      <c r="D100">
        <v>531716</v>
      </c>
      <c r="E100" t="str">
        <f>HYPERLINK("http://imap3images.s3-website-us-east-1.amazonaws.com/531716/p/photourl2_2018_10_02_laumartin_qpymi7yz.jpg", "View")</f>
        <v>View</v>
      </c>
      <c r="F100" t="s">
        <v>22</v>
      </c>
      <c r="G100" t="s">
        <v>23</v>
      </c>
      <c r="H100">
        <v>57278</v>
      </c>
      <c r="I100" t="str">
        <f>HYPERLINK("https://www.inaturalist.org/taxa/158549-Aralia-elata", "View")</f>
        <v>View</v>
      </c>
      <c r="J100" t="s">
        <v>87</v>
      </c>
      <c r="K100" t="s">
        <v>88</v>
      </c>
      <c r="L100">
        <v>158549</v>
      </c>
      <c r="M100">
        <v>14.85</v>
      </c>
      <c r="N100">
        <v>42.09</v>
      </c>
      <c r="O100">
        <v>0</v>
      </c>
      <c r="P100" t="s">
        <v>26</v>
      </c>
      <c r="Q100" t="s">
        <v>27</v>
      </c>
      <c r="R100">
        <v>87.09</v>
      </c>
      <c r="S100">
        <v>32.68</v>
      </c>
      <c r="T100" t="s">
        <v>28</v>
      </c>
      <c r="U100" t="s">
        <v>28</v>
      </c>
      <c r="V100" t="s">
        <v>30</v>
      </c>
    </row>
    <row r="101" spans="1:22" x14ac:dyDescent="0.25">
      <c r="A101">
        <v>100</v>
      </c>
      <c r="B101" t="str">
        <f>HYPERLINK("https://imapinvasives.natureserve.org/imap/services/page/Presence/531717.html", "View")</f>
        <v>View</v>
      </c>
      <c r="C101">
        <v>531717</v>
      </c>
      <c r="D101">
        <v>531717</v>
      </c>
      <c r="E101" t="str">
        <f>HYPERLINK("http://imap3images.s3-website-us-east-1.amazonaws.com/531717/p/photourl2_2018_10_02_laumartin_6nvy76i1.jpg", "View")</f>
        <v>View</v>
      </c>
      <c r="F101" t="s">
        <v>22</v>
      </c>
      <c r="G101" t="s">
        <v>23</v>
      </c>
      <c r="H101">
        <v>57278</v>
      </c>
      <c r="I101" t="str">
        <f>HYPERLINK("https://www.inaturalist.org/taxa/158549-Aralia-elata", "View")</f>
        <v>View</v>
      </c>
      <c r="J101" t="s">
        <v>87</v>
      </c>
      <c r="K101" t="s">
        <v>88</v>
      </c>
      <c r="L101">
        <v>158549</v>
      </c>
      <c r="M101">
        <v>14.85</v>
      </c>
      <c r="N101">
        <v>42.09</v>
      </c>
      <c r="O101">
        <v>0</v>
      </c>
      <c r="P101" t="s">
        <v>26</v>
      </c>
      <c r="Q101" t="s">
        <v>27</v>
      </c>
      <c r="R101">
        <v>87.09</v>
      </c>
      <c r="S101">
        <v>32.68</v>
      </c>
      <c r="T101" t="s">
        <v>28</v>
      </c>
      <c r="U101" t="s">
        <v>28</v>
      </c>
      <c r="V101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Taposh Mollick</cp:lastModifiedBy>
  <dcterms:created xsi:type="dcterms:W3CDTF">2025-04-04T07:48:14Z</dcterms:created>
  <dcterms:modified xsi:type="dcterms:W3CDTF">2025-04-04T07:52:22Z</dcterms:modified>
</cp:coreProperties>
</file>