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es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S.L.</t>
        </is>
      </c>
      <c r="B1" t="inlineStr">
        <is>
          <t>imaplink</t>
        </is>
      </c>
      <c r="C1" t="inlineStr">
        <is>
          <t>presenceId</t>
        </is>
      </c>
      <c r="D1" t="inlineStr">
        <is>
          <t>presentSpeciesId</t>
        </is>
      </c>
      <c r="E1" t="inlineStr">
        <is>
          <t>iMapPhoto</t>
        </is>
      </c>
      <c r="F1" t="inlineStr">
        <is>
          <t>imap_sci</t>
        </is>
      </c>
      <c r="G1" t="inlineStr">
        <is>
          <t>imap_com</t>
        </is>
      </c>
      <c r="H1" t="inlineStr">
        <is>
          <t>imap_record_taxon</t>
        </is>
      </c>
      <c r="I1" t="inlineStr">
        <is>
          <t>inatlink</t>
        </is>
      </c>
      <c r="J1" t="inlineStr">
        <is>
          <t>inat_sci</t>
        </is>
      </c>
      <c r="K1" t="inlineStr">
        <is>
          <t>inat_com</t>
        </is>
      </c>
      <c r="L1" t="inlineStr">
        <is>
          <t>inat_taxon</t>
        </is>
      </c>
      <c r="M1" t="inlineStr">
        <is>
          <t>geo_score</t>
        </is>
      </c>
      <c r="N1" t="inlineStr">
        <is>
          <t>com_score</t>
        </is>
      </c>
      <c r="O1" t="inlineStr">
        <is>
          <t>species_label</t>
        </is>
      </c>
      <c r="P1" t="inlineStr">
        <is>
          <t>com_status</t>
        </is>
      </c>
      <c r="Q1" t="inlineStr">
        <is>
          <t>NYS_Tier</t>
        </is>
      </c>
      <c r="R1" t="inlineStr">
        <is>
          <t>Species_selected_threshold</t>
        </is>
      </c>
      <c r="S1" t="inlineStr">
        <is>
          <t>Geo_score_mean</t>
        </is>
      </c>
      <c r="T1" t="inlineStr">
        <is>
          <t>Com_score_above_or_below</t>
        </is>
      </c>
      <c r="U1" t="inlineStr">
        <is>
          <t>Geo_score_above_or_below</t>
        </is>
      </c>
      <c r="V1" t="inlineStr">
        <is>
          <t>Recommended_status</t>
        </is>
      </c>
    </row>
    <row r="2">
      <c r="A2" t="n">
        <v>1</v>
      </c>
      <c r="B2">
        <f>HYPERLINK("https://imapinvasives.natureserve.org/imap/services/page/Presence/1332475.html", "View")</f>
        <v/>
      </c>
      <c r="C2" t="n">
        <v>1332475</v>
      </c>
      <c r="D2" t="n">
        <v>1354674</v>
      </c>
      <c r="E2">
        <f>HYPERLINK("http://imap3images.s3-website-us-east-1.amazonaws.com/1354674/p/Garlic_mustard.jpeg", "View")</f>
        <v/>
      </c>
      <c r="F2" t="inlineStr">
        <is>
          <t>Alliaria petiolata</t>
        </is>
      </c>
      <c r="G2" t="inlineStr">
        <is>
          <t>Garlic Mustard</t>
        </is>
      </c>
      <c r="H2" t="n">
        <v>56061</v>
      </c>
      <c r="I2">
        <f>HYPERLINK("https://www.inaturalist.org/taxa/56061-Alliaria-petiolata", "View")</f>
        <v/>
      </c>
      <c r="J2" t="inlineStr">
        <is>
          <t>Alliaria petiolata</t>
        </is>
      </c>
      <c r="K2" t="inlineStr">
        <is>
          <t>Garlic mustard</t>
        </is>
      </c>
      <c r="L2" t="n">
        <v>56061</v>
      </c>
      <c r="M2" t="n">
        <v>21.07</v>
      </c>
      <c r="N2" t="n">
        <v>60.26</v>
      </c>
      <c r="O2" t="n">
        <v>1</v>
      </c>
      <c r="P2" t="inlineStr">
        <is>
          <t>Match</t>
        </is>
      </c>
      <c r="Q2" t="inlineStr">
        <is>
          <t>4</t>
        </is>
      </c>
      <c r="R2" t="n">
        <v>88.91</v>
      </c>
      <c r="S2" t="n">
        <v>39.89</v>
      </c>
      <c r="T2" t="inlineStr">
        <is>
          <t>Below</t>
        </is>
      </c>
      <c r="U2" t="inlineStr">
        <is>
          <t>Below</t>
        </is>
      </c>
      <c r="V2" t="inlineStr">
        <is>
          <t>Manual review</t>
        </is>
      </c>
    </row>
    <row r="3">
      <c r="A3" t="n">
        <v>1</v>
      </c>
      <c r="B3">
        <f>HYPERLINK("https://imapinvasives.natureserve.org/imap/services/page/Presence/1332475.html", "View")</f>
        <v/>
      </c>
      <c r="C3" t="n">
        <v>1332475</v>
      </c>
      <c r="D3" t="n">
        <v>1354671</v>
      </c>
      <c r="E3">
        <f>HYPERLINK("http://imap3images.s3-website-us-east-1.amazonaws.com/1354671/p/Oriental_Bittersweet.jpeg", "View")</f>
        <v/>
      </c>
      <c r="F3" t="inlineStr">
        <is>
          <t>Celastrus orbiculatus</t>
        </is>
      </c>
      <c r="G3" t="inlineStr">
        <is>
          <t>Oriental Bittersweet</t>
        </is>
      </c>
      <c r="H3" t="n">
        <v>64540</v>
      </c>
      <c r="I3">
        <f>HYPERLINK("https://www.inaturalist.org/taxa/64540-Celastrus-orbiculatus", "View")</f>
        <v/>
      </c>
      <c r="J3" t="inlineStr">
        <is>
          <t>Celastrus orbiculatus</t>
        </is>
      </c>
      <c r="K3" t="inlineStr">
        <is>
          <t>Oriental bittersweet</t>
        </is>
      </c>
      <c r="L3" t="n">
        <v>64540</v>
      </c>
      <c r="M3" t="n">
        <v>4.11</v>
      </c>
      <c r="N3" t="n">
        <v>93.88</v>
      </c>
      <c r="O3" t="n">
        <v>1</v>
      </c>
      <c r="P3" t="inlineStr">
        <is>
          <t>Match</t>
        </is>
      </c>
      <c r="Q3" t="inlineStr">
        <is>
          <t>4</t>
        </is>
      </c>
      <c r="R3" t="n">
        <v>65.45</v>
      </c>
      <c r="S3" t="n">
        <v>33.65</v>
      </c>
      <c r="T3" t="inlineStr">
        <is>
          <t>Above</t>
        </is>
      </c>
      <c r="U3" t="inlineStr">
        <is>
          <t>Below</t>
        </is>
      </c>
      <c r="V3" t="inlineStr">
        <is>
          <t>Automatically confirmed</t>
        </is>
      </c>
    </row>
    <row r="4">
      <c r="A4" t="n">
        <v>1</v>
      </c>
      <c r="B4">
        <f>HYPERLINK("https://imapinvasives.natureserve.org/imap/services/page/Presence/1332475.html", "View")</f>
        <v/>
      </c>
      <c r="C4" t="n">
        <v>1332475</v>
      </c>
      <c r="D4" t="n">
        <v>1346347</v>
      </c>
      <c r="E4">
        <f>HYPERLINK("http://imap3images.s3-website-us-east-1.amazonaws.com/1346347/p/Mock_Strawberry.jpeg", "View")</f>
        <v/>
      </c>
      <c r="F4" t="inlineStr">
        <is>
          <t>Duchesnea indica</t>
        </is>
      </c>
      <c r="G4" t="inlineStr">
        <is>
          <t>Indian Mock Strawberry</t>
        </is>
      </c>
      <c r="H4" t="n">
        <v>243824</v>
      </c>
      <c r="I4">
        <f>HYPERLINK("https://www.inaturalist.org/taxa/319098-Synanthedon-bibionipennis", "View")</f>
        <v/>
      </c>
      <c r="J4" t="inlineStr">
        <is>
          <t>Synanthedon bibionipennis</t>
        </is>
      </c>
      <c r="K4" t="inlineStr">
        <is>
          <t>Strawberry crown moth</t>
        </is>
      </c>
      <c r="L4" t="n">
        <v>319098</v>
      </c>
      <c r="M4" t="n">
        <v>0</v>
      </c>
      <c r="N4" t="n">
        <v>18.69</v>
      </c>
      <c r="O4" t="n">
        <v>0</v>
      </c>
      <c r="P4" t="inlineStr">
        <is>
          <t>Unmatch</t>
        </is>
      </c>
      <c r="Q4" t="inlineStr">
        <is>
          <t>nan</t>
        </is>
      </c>
      <c r="R4" t="n">
        <v>77.62</v>
      </c>
      <c r="S4" t="n">
        <v>36.5</v>
      </c>
      <c r="T4" t="inlineStr">
        <is>
          <t>Below</t>
        </is>
      </c>
      <c r="U4" t="inlineStr">
        <is>
          <t>Below</t>
        </is>
      </c>
      <c r="V4" t="inlineStr">
        <is>
          <t>Manual review</t>
        </is>
      </c>
    </row>
    <row r="5">
      <c r="A5" t="n">
        <v>1</v>
      </c>
      <c r="B5">
        <f>HYPERLINK("https://imapinvasives.natureserve.org/imap/services/page/Presence/1332475.html", "View")</f>
        <v/>
      </c>
      <c r="C5" t="n">
        <v>1332475</v>
      </c>
      <c r="D5" t="n">
        <v>1354672</v>
      </c>
      <c r="E5">
        <f>HYPERLINK("http://imap3images.s3-website-us-east-1.amazonaws.com/1354672/p/Norway_Maple.jpeg", "View")</f>
        <v/>
      </c>
      <c r="F5" t="inlineStr">
        <is>
          <t>Acer platanoides</t>
        </is>
      </c>
      <c r="G5" t="inlineStr">
        <is>
          <t>Norway Maple</t>
        </is>
      </c>
      <c r="H5" t="n">
        <v>54763</v>
      </c>
      <c r="I5">
        <f>HYPERLINK("https://www.inaturalist.org/taxa/47726-Acer-negundo", "View")</f>
        <v/>
      </c>
      <c r="J5" t="inlineStr">
        <is>
          <t>Acer negundo</t>
        </is>
      </c>
      <c r="K5" t="inlineStr">
        <is>
          <t>Box elder</t>
        </is>
      </c>
      <c r="L5" t="n">
        <v>47726</v>
      </c>
      <c r="M5" t="n">
        <v>8.359999999999999</v>
      </c>
      <c r="N5" t="n">
        <v>18.83</v>
      </c>
      <c r="O5" t="n">
        <v>0</v>
      </c>
      <c r="P5" t="inlineStr">
        <is>
          <t>Unmatch</t>
        </is>
      </c>
      <c r="Q5" t="inlineStr">
        <is>
          <t>4</t>
        </is>
      </c>
      <c r="R5" t="n">
        <v>77.62</v>
      </c>
      <c r="S5" t="n">
        <v>36.5</v>
      </c>
      <c r="T5" t="inlineStr">
        <is>
          <t>Below</t>
        </is>
      </c>
      <c r="U5" t="inlineStr">
        <is>
          <t>Below</t>
        </is>
      </c>
      <c r="V5" t="inlineStr">
        <is>
          <t>Manual review</t>
        </is>
      </c>
    </row>
    <row r="6">
      <c r="A6" t="n">
        <v>1</v>
      </c>
      <c r="B6">
        <f>HYPERLINK("https://imapinvasives.natureserve.org/imap/services/page/Presence/1332475.html", "View")</f>
        <v/>
      </c>
      <c r="C6" t="n">
        <v>1332475</v>
      </c>
      <c r="D6" t="n">
        <v>1346344</v>
      </c>
      <c r="E6">
        <f>HYPERLINK("http://imap3images.s3-website-us-east-1.amazonaws.com/1346344/p/Ground_Ivy.jpeg", "View")</f>
        <v/>
      </c>
      <c r="F6" t="inlineStr">
        <is>
          <t>Glechoma hederacea</t>
        </is>
      </c>
      <c r="G6" t="inlineStr">
        <is>
          <t>Ground-ivy</t>
        </is>
      </c>
      <c r="H6" t="n">
        <v>55830</v>
      </c>
      <c r="I6">
        <f>HYPERLINK("https://www.inaturalist.org/taxa/55830-Glechoma-hederacea", "View")</f>
        <v/>
      </c>
      <c r="J6" t="inlineStr">
        <is>
          <t>Glechoma hederacea</t>
        </is>
      </c>
      <c r="K6" t="inlineStr">
        <is>
          <t>Ground-ivy</t>
        </is>
      </c>
      <c r="L6" t="n">
        <v>55830</v>
      </c>
      <c r="M6" t="n">
        <v>13.76</v>
      </c>
      <c r="N6" t="n">
        <v>98.47</v>
      </c>
      <c r="O6" t="n">
        <v>1</v>
      </c>
      <c r="P6" t="inlineStr">
        <is>
          <t>Match</t>
        </is>
      </c>
      <c r="Q6" t="inlineStr">
        <is>
          <t>nan</t>
        </is>
      </c>
      <c r="R6" t="n">
        <v>77.62</v>
      </c>
      <c r="S6" t="n">
        <v>36.5</v>
      </c>
      <c r="T6" t="inlineStr">
        <is>
          <t>Above</t>
        </is>
      </c>
      <c r="U6" t="inlineStr">
        <is>
          <t>Below</t>
        </is>
      </c>
      <c r="V6" t="inlineStr">
        <is>
          <t>Automatically confirmed</t>
        </is>
      </c>
    </row>
    <row r="7">
      <c r="A7" t="n">
        <v>2</v>
      </c>
      <c r="B7">
        <f>HYPERLINK("https://imapinvasives.natureserve.org/imap/services/page/Presence/1332476.html", "View")</f>
        <v/>
      </c>
      <c r="C7" t="n">
        <v>1332476</v>
      </c>
      <c r="D7" t="n">
        <v>1346454</v>
      </c>
      <c r="E7">
        <f>HYPERLINK("http://imap3images.s3-website-us-east-1.amazonaws.com/1346454/p/PXL_20230531_110109095.jpg", "View")</f>
        <v/>
      </c>
      <c r="F7" t="inlineStr">
        <is>
          <t>Hemerocallis fulva</t>
        </is>
      </c>
      <c r="G7" t="inlineStr">
        <is>
          <t>Orange Daylily</t>
        </is>
      </c>
      <c r="H7" t="n">
        <v>126583</v>
      </c>
      <c r="I7">
        <f>HYPERLINK("https://www.inaturalist.org/taxa/126583-Hemerocallis-fulva", "View")</f>
        <v/>
      </c>
      <c r="J7" t="inlineStr">
        <is>
          <t>Hemerocallis fulva</t>
        </is>
      </c>
      <c r="K7" t="inlineStr">
        <is>
          <t>Orange day-lily</t>
        </is>
      </c>
      <c r="L7" t="n">
        <v>126583</v>
      </c>
      <c r="M7" t="n">
        <v>8.56</v>
      </c>
      <c r="N7" t="n">
        <v>38.26</v>
      </c>
      <c r="O7" t="n">
        <v>1</v>
      </c>
      <c r="P7" t="inlineStr">
        <is>
          <t>Match</t>
        </is>
      </c>
      <c r="Q7" t="inlineStr">
        <is>
          <t>nan</t>
        </is>
      </c>
      <c r="R7" t="n">
        <v>77.62</v>
      </c>
      <c r="S7" t="n">
        <v>36.5</v>
      </c>
      <c r="T7" t="inlineStr">
        <is>
          <t>Below</t>
        </is>
      </c>
      <c r="U7" t="inlineStr">
        <is>
          <t>Below</t>
        </is>
      </c>
      <c r="V7" t="inlineStr">
        <is>
          <t>Manual review</t>
        </is>
      </c>
    </row>
    <row r="8">
      <c r="A8" t="n">
        <v>2</v>
      </c>
      <c r="B8">
        <f>HYPERLINK("https://imapinvasives.natureserve.org/imap/services/page/Presence/1332476.html", "View")</f>
        <v/>
      </c>
      <c r="C8" t="n">
        <v>1332476</v>
      </c>
      <c r="D8" t="n">
        <v>1346350</v>
      </c>
      <c r="E8">
        <f>HYPERLINK("http://imap3images.s3-website-us-east-1.amazonaws.com/1346350/p/PXL_20230531_110637359.jpg", "View")</f>
        <v/>
      </c>
      <c r="F8" t="inlineStr">
        <is>
          <t>Linaria vulgaris</t>
        </is>
      </c>
      <c r="G8" t="inlineStr">
        <is>
          <t>Butter-and-eggs</t>
        </is>
      </c>
      <c r="H8" t="n">
        <v>50790</v>
      </c>
      <c r="I8">
        <f>HYPERLINK("https://www.inaturalist.org/taxa/50790-Linaria-vulgaris", "View")</f>
        <v/>
      </c>
      <c r="J8" t="inlineStr">
        <is>
          <t>Linaria vulgaris</t>
        </is>
      </c>
      <c r="K8" t="inlineStr">
        <is>
          <t>Common toadflax</t>
        </is>
      </c>
      <c r="L8" t="n">
        <v>50790</v>
      </c>
      <c r="M8" t="n">
        <v>16.28</v>
      </c>
      <c r="N8" t="n">
        <v>98.73999999999999</v>
      </c>
      <c r="O8" t="n">
        <v>1</v>
      </c>
      <c r="P8" t="inlineStr">
        <is>
          <t>Match</t>
        </is>
      </c>
      <c r="Q8" t="inlineStr">
        <is>
          <t>nan</t>
        </is>
      </c>
      <c r="R8" t="n">
        <v>77.62</v>
      </c>
      <c r="S8" t="n">
        <v>36.5</v>
      </c>
      <c r="T8" t="inlineStr">
        <is>
          <t>Above</t>
        </is>
      </c>
      <c r="U8" t="inlineStr">
        <is>
          <t>Below</t>
        </is>
      </c>
      <c r="V8" t="inlineStr">
        <is>
          <t>Automatically confirmed</t>
        </is>
      </c>
    </row>
    <row r="9">
      <c r="A9" t="n">
        <v>3</v>
      </c>
      <c r="B9">
        <f>HYPERLINK("https://imapinvasives.natureserve.org/imap/services/page/Presence/1393477.html", "View")</f>
        <v/>
      </c>
      <c r="C9" t="n">
        <v>1393477</v>
      </c>
      <c r="D9" t="n">
        <v>1411616</v>
      </c>
      <c r="E9">
        <f>HYPERLINK("http://imap3images.s3-website-us-east-1.amazonaws.com/1411616/p/Alliaria_petiolata_leaves.JPEG", "View")</f>
        <v/>
      </c>
      <c r="F9" t="inlineStr">
        <is>
          <t>Alliaria petiolata</t>
        </is>
      </c>
      <c r="G9" t="inlineStr">
        <is>
          <t>Garlic Mustard</t>
        </is>
      </c>
      <c r="H9" t="n">
        <v>56061</v>
      </c>
      <c r="I9">
        <f>HYPERLINK("https://www.inaturalist.org/taxa/204339-Lamium-galeobdolon", "View")</f>
        <v/>
      </c>
      <c r="J9" t="inlineStr">
        <is>
          <t>Lamium galeobdolon</t>
        </is>
      </c>
      <c r="K9" t="inlineStr">
        <is>
          <t>Yellow archangel</t>
        </is>
      </c>
      <c r="L9" t="n">
        <v>204339</v>
      </c>
      <c r="M9" t="n">
        <v>48.1</v>
      </c>
      <c r="N9" t="n">
        <v>12.74</v>
      </c>
      <c r="O9" t="n">
        <v>0</v>
      </c>
      <c r="P9" t="inlineStr">
        <is>
          <t>Unmatch</t>
        </is>
      </c>
      <c r="Q9" t="inlineStr">
        <is>
          <t>4</t>
        </is>
      </c>
      <c r="R9" t="n">
        <v>88.91</v>
      </c>
      <c r="S9" t="n">
        <v>39.89</v>
      </c>
      <c r="T9" t="inlineStr">
        <is>
          <t>Below</t>
        </is>
      </c>
      <c r="U9" t="inlineStr">
        <is>
          <t>Above</t>
        </is>
      </c>
      <c r="V9" t="inlineStr">
        <is>
          <t>Manual review</t>
        </is>
      </c>
    </row>
    <row r="10">
      <c r="A10" t="n">
        <v>4</v>
      </c>
      <c r="B10">
        <f>HYPERLINK("https://imapinvasives.natureserve.org/imap/services/page/Presence/1338545.html", "View")</f>
        <v/>
      </c>
      <c r="C10" t="n">
        <v>1338545</v>
      </c>
      <c r="D10" t="n">
        <v>1353343</v>
      </c>
      <c r="E10">
        <f>HYPERLINK("http://imap3images.s3-website-us-east-1.amazonaws.com/1353343/p/IMG_20230704_201036516.jpg", "View")</f>
        <v/>
      </c>
      <c r="F10" t="inlineStr">
        <is>
          <t>Trapa natans</t>
        </is>
      </c>
      <c r="G10" t="inlineStr">
        <is>
          <t>Water Chestnut</t>
        </is>
      </c>
      <c r="H10" t="n">
        <v>169900</v>
      </c>
      <c r="I10">
        <f>HYPERLINK("https://www.inaturalist.org/taxa/169900-Trapa-natans", "View")</f>
        <v/>
      </c>
      <c r="J10" t="inlineStr">
        <is>
          <t>Trapa natans</t>
        </is>
      </c>
      <c r="K10" t="inlineStr">
        <is>
          <t>Water caltrop</t>
        </is>
      </c>
      <c r="L10" t="n">
        <v>169900</v>
      </c>
      <c r="M10" t="n">
        <v>9.49</v>
      </c>
      <c r="N10" t="n">
        <v>99.3</v>
      </c>
      <c r="O10" t="n">
        <v>1</v>
      </c>
      <c r="P10" t="inlineStr">
        <is>
          <t>Match</t>
        </is>
      </c>
      <c r="Q10" t="inlineStr">
        <is>
          <t>4</t>
        </is>
      </c>
      <c r="R10" t="n">
        <v>77.62</v>
      </c>
      <c r="S10" t="n">
        <v>36.5</v>
      </c>
      <c r="T10" t="inlineStr">
        <is>
          <t>Above</t>
        </is>
      </c>
      <c r="U10" t="inlineStr">
        <is>
          <t>Below</t>
        </is>
      </c>
      <c r="V10" t="inlineStr">
        <is>
          <t>Automatically confirmed</t>
        </is>
      </c>
    </row>
    <row r="11">
      <c r="A11" t="n">
        <v>5</v>
      </c>
      <c r="B11">
        <f>HYPERLINK("https://imapinvasives.natureserve.org/imap/services/page/Presence/1248259.html", "View")</f>
        <v/>
      </c>
      <c r="C11" t="n">
        <v>1248259</v>
      </c>
      <c r="D11" t="n">
        <v>1256371</v>
      </c>
      <c r="E11">
        <f>HYPERLINK("http://imap3images.s3-website-us-east-1.amazonaws.com/1256371/p/IMG_20200716_154918.jpg", "View")</f>
        <v/>
      </c>
      <c r="F11" t="inlineStr">
        <is>
          <t>Artemisia vulgaris</t>
        </is>
      </c>
      <c r="G11" t="inlineStr">
        <is>
          <t>Common Wormwood</t>
        </is>
      </c>
      <c r="H11" t="n">
        <v>52856</v>
      </c>
      <c r="I11">
        <f>HYPERLINK("https://www.inaturalist.org/taxa/52856-Artemisia-vulgaris", "View")</f>
        <v/>
      </c>
      <c r="J11" t="inlineStr">
        <is>
          <t>Artemisia vulgaris</t>
        </is>
      </c>
      <c r="K11" t="inlineStr">
        <is>
          <t>Common mugwort</t>
        </is>
      </c>
      <c r="L11" t="n">
        <v>52856</v>
      </c>
      <c r="M11" t="n">
        <v>19.22</v>
      </c>
      <c r="N11" t="n">
        <v>74.45</v>
      </c>
      <c r="O11" t="n">
        <v>1</v>
      </c>
      <c r="P11" t="inlineStr">
        <is>
          <t>Match</t>
        </is>
      </c>
      <c r="Q11" t="inlineStr">
        <is>
          <t>4</t>
        </is>
      </c>
      <c r="R11" t="n">
        <v>77.62</v>
      </c>
      <c r="S11" t="n">
        <v>36.5</v>
      </c>
      <c r="T11" t="inlineStr">
        <is>
          <t>Below</t>
        </is>
      </c>
      <c r="U11" t="inlineStr">
        <is>
          <t>Below</t>
        </is>
      </c>
      <c r="V11" t="inlineStr">
        <is>
          <t>Manual review</t>
        </is>
      </c>
    </row>
    <row r="12">
      <c r="A12" t="n">
        <v>6</v>
      </c>
      <c r="B12">
        <f>HYPERLINK("https://imapinvasives.natureserve.org/imap/services/page/Presence/1340080.html", "View")</f>
        <v/>
      </c>
      <c r="C12" t="n">
        <v>1340080</v>
      </c>
      <c r="D12" t="n">
        <v>1355173</v>
      </c>
      <c r="E12">
        <f>HYPERLINK("http://imap3images.s3-website-us-east-1.amazonaws.com/1355173/p/Helleborine.jpeg", "View")</f>
        <v/>
      </c>
      <c r="F12" t="inlineStr">
        <is>
          <t>Epipactis helleborine</t>
        </is>
      </c>
      <c r="G12" t="inlineStr">
        <is>
          <t>Eastern Helleborine</t>
        </is>
      </c>
      <c r="H12" t="n">
        <v>50717</v>
      </c>
      <c r="I12">
        <f>HYPERLINK("https://www.inaturalist.org/taxa/50717-Epipactis-helleborine", "View")</f>
        <v/>
      </c>
      <c r="J12" t="inlineStr">
        <is>
          <t>Epipactis helleborine</t>
        </is>
      </c>
      <c r="K12" t="inlineStr">
        <is>
          <t>Broad-leaved helleborine</t>
        </is>
      </c>
      <c r="L12" t="n">
        <v>50717</v>
      </c>
      <c r="M12" t="n">
        <v>21.84</v>
      </c>
      <c r="N12" t="n">
        <v>97.93000000000001</v>
      </c>
      <c r="O12" t="n">
        <v>1</v>
      </c>
      <c r="P12" t="inlineStr">
        <is>
          <t>Match</t>
        </is>
      </c>
      <c r="Q12" t="inlineStr">
        <is>
          <t>nan</t>
        </is>
      </c>
      <c r="R12" t="n">
        <v>77.62</v>
      </c>
      <c r="S12" t="n">
        <v>36.5</v>
      </c>
      <c r="T12" t="inlineStr">
        <is>
          <t>Above</t>
        </is>
      </c>
      <c r="U12" t="inlineStr">
        <is>
          <t>Below</t>
        </is>
      </c>
      <c r="V12" t="inlineStr">
        <is>
          <t>Automatically confirmed</t>
        </is>
      </c>
    </row>
    <row r="13">
      <c r="A13" t="n">
        <v>7</v>
      </c>
      <c r="B13">
        <f>HYPERLINK("https://imapinvasives.natureserve.org/imap/services/page/Presence/1352795.html", "View")</f>
        <v/>
      </c>
      <c r="C13" t="n">
        <v>1352795</v>
      </c>
      <c r="D13" t="n">
        <v>1370186</v>
      </c>
      <c r="E13">
        <f>HYPERLINK("http://imap3images.s3-website-us-east-1.amazonaws.com/1370186/p/Imap_Invasive_Cabomba_1.jpg", "View")</f>
        <v/>
      </c>
      <c r="F13" t="inlineStr">
        <is>
          <t>Cabomba caroliniana</t>
        </is>
      </c>
      <c r="G13" t="inlineStr">
        <is>
          <t>Carolina Fanwort</t>
        </is>
      </c>
      <c r="H13" t="n">
        <v>75921</v>
      </c>
      <c r="I13">
        <f>HYPERLINK("https://www.inaturalist.org/taxa/75921-Cabomba-caroliniana", "View")</f>
        <v/>
      </c>
      <c r="J13" t="inlineStr">
        <is>
          <t>Cabomba caroliniana</t>
        </is>
      </c>
      <c r="K13" t="inlineStr">
        <is>
          <t>Carolina fanwort</t>
        </is>
      </c>
      <c r="L13" t="n">
        <v>75921</v>
      </c>
      <c r="M13" t="n">
        <v>6.82</v>
      </c>
      <c r="N13" t="n">
        <v>60.78</v>
      </c>
      <c r="O13" t="n">
        <v>1</v>
      </c>
      <c r="P13" t="inlineStr">
        <is>
          <t>Match</t>
        </is>
      </c>
      <c r="Q13" t="inlineStr">
        <is>
          <t>3</t>
        </is>
      </c>
      <c r="R13" t="n">
        <v>77.62</v>
      </c>
      <c r="S13" t="n">
        <v>36.5</v>
      </c>
      <c r="T13" t="inlineStr">
        <is>
          <t>Below</t>
        </is>
      </c>
      <c r="U13" t="inlineStr">
        <is>
          <t>Below</t>
        </is>
      </c>
      <c r="V13" t="inlineStr">
        <is>
          <t>Manual review</t>
        </is>
      </c>
    </row>
    <row r="14">
      <c r="A14" t="n">
        <v>7</v>
      </c>
      <c r="B14">
        <f>HYPERLINK("https://imapinvasives.natureserve.org/imap/services/page/Presence/1352795.html", "View")</f>
        <v/>
      </c>
      <c r="C14" t="n">
        <v>1352795</v>
      </c>
      <c r="D14" t="n">
        <v>1370187</v>
      </c>
      <c r="E14">
        <f>HYPERLINK("http://imap3images.s3-website-us-east-1.amazonaws.com/1370187/p/Imap_Invasive_VLM.jpg", "View")</f>
        <v/>
      </c>
      <c r="F14" t="inlineStr">
        <is>
          <t>Myriophyllum heterophyllum</t>
        </is>
      </c>
      <c r="G14" t="inlineStr">
        <is>
          <t>Broadleaf Water-milfoil</t>
        </is>
      </c>
      <c r="H14" t="n">
        <v>165603</v>
      </c>
      <c r="I14">
        <f>HYPERLINK("https://www.inaturalist.org/taxa/61034-Myriophyllum-sibiricum", "View")</f>
        <v/>
      </c>
      <c r="J14" t="inlineStr">
        <is>
          <t>Myriophyllum sibiricum</t>
        </is>
      </c>
      <c r="K14" t="inlineStr">
        <is>
          <t>Siberian water-milfoil</t>
        </is>
      </c>
      <c r="L14" t="n">
        <v>61034</v>
      </c>
      <c r="M14" t="n">
        <v>0.11</v>
      </c>
      <c r="N14" t="n">
        <v>18.76</v>
      </c>
      <c r="O14" t="n">
        <v>0</v>
      </c>
      <c r="P14" t="inlineStr">
        <is>
          <t>Unmatch</t>
        </is>
      </c>
      <c r="Q14" t="inlineStr">
        <is>
          <t>nan</t>
        </is>
      </c>
      <c r="R14" t="n">
        <v>77.62</v>
      </c>
      <c r="S14" t="n">
        <v>36.5</v>
      </c>
      <c r="T14" t="inlineStr">
        <is>
          <t>Below</t>
        </is>
      </c>
      <c r="U14" t="inlineStr">
        <is>
          <t>Below</t>
        </is>
      </c>
      <c r="V14" t="inlineStr">
        <is>
          <t>Manual review</t>
        </is>
      </c>
    </row>
    <row r="15">
      <c r="A15" t="n">
        <v>7</v>
      </c>
      <c r="B15">
        <f>HYPERLINK("https://imapinvasives.natureserve.org/imap/services/page/Presence/1352795.html", "View")</f>
        <v/>
      </c>
      <c r="C15" t="n">
        <v>1352795</v>
      </c>
      <c r="D15" t="n">
        <v>1370185</v>
      </c>
      <c r="E15">
        <f>HYPERLINK("http://imap3images.s3-website-us-east-1.amazonaws.com/1370185/p/Imap_Invasive_EWM_2.jpg", "View")</f>
        <v/>
      </c>
      <c r="F15" t="inlineStr">
        <is>
          <t>Myriophyllum spicatum</t>
        </is>
      </c>
      <c r="G15" t="inlineStr">
        <is>
          <t>Eurasian Water-milfoil</t>
        </is>
      </c>
      <c r="H15" t="n">
        <v>78157</v>
      </c>
      <c r="I15">
        <f>HYPERLINK("https://www.inaturalist.org/taxa/78157-Myriophyllum-spicatum", "View")</f>
        <v/>
      </c>
      <c r="J15" t="inlineStr">
        <is>
          <t>Myriophyllum spicatum</t>
        </is>
      </c>
      <c r="K15" t="inlineStr">
        <is>
          <t>Eurasian water-milfoil</t>
        </is>
      </c>
      <c r="L15" t="n">
        <v>78157</v>
      </c>
      <c r="M15" t="n">
        <v>10.51</v>
      </c>
      <c r="N15" t="n">
        <v>98.8</v>
      </c>
      <c r="O15" t="n">
        <v>1</v>
      </c>
      <c r="P15" t="inlineStr">
        <is>
          <t>Match</t>
        </is>
      </c>
      <c r="Q15" t="inlineStr">
        <is>
          <t>4</t>
        </is>
      </c>
      <c r="R15" t="n">
        <v>77.62</v>
      </c>
      <c r="S15" t="n">
        <v>36.5</v>
      </c>
      <c r="T15" t="inlineStr">
        <is>
          <t>Above</t>
        </is>
      </c>
      <c r="U15" t="inlineStr">
        <is>
          <t>Below</t>
        </is>
      </c>
      <c r="V15" t="inlineStr">
        <is>
          <t>Automatically confirmed</t>
        </is>
      </c>
    </row>
    <row r="16">
      <c r="A16" t="n">
        <v>7</v>
      </c>
      <c r="B16">
        <f>HYPERLINK("https://imapinvasives.natureserve.org/imap/services/page/Presence/1352795.html", "View")</f>
        <v/>
      </c>
      <c r="C16" t="n">
        <v>1352795</v>
      </c>
      <c r="D16" t="n">
        <v>1370184</v>
      </c>
      <c r="E16">
        <f>HYPERLINK("http://imap3images.s3-website-us-east-1.amazonaws.com/1370184/p/Imap_Invasive_CLP_1.jpg", "View")</f>
        <v/>
      </c>
      <c r="F16" t="inlineStr">
        <is>
          <t>Potamogeton crispus</t>
        </is>
      </c>
      <c r="G16" t="inlineStr">
        <is>
          <t>Curly Pondweed</t>
        </is>
      </c>
      <c r="H16" t="n">
        <v>78707</v>
      </c>
      <c r="I16">
        <f>HYPERLINK("https://www.inaturalist.org/taxa/78707-Potamogeton-crispus", "View")</f>
        <v/>
      </c>
      <c r="J16" t="inlineStr">
        <is>
          <t>Potamogeton crispus</t>
        </is>
      </c>
      <c r="K16" t="inlineStr">
        <is>
          <t>Curly-leaf pondweed</t>
        </is>
      </c>
      <c r="L16" t="n">
        <v>78707</v>
      </c>
      <c r="M16" t="n">
        <v>9.890000000000001</v>
      </c>
      <c r="N16" t="n">
        <v>97.20999999999999</v>
      </c>
      <c r="O16" t="n">
        <v>1</v>
      </c>
      <c r="P16" t="inlineStr">
        <is>
          <t>Match</t>
        </is>
      </c>
      <c r="Q16" t="inlineStr">
        <is>
          <t>4</t>
        </is>
      </c>
      <c r="R16" t="n">
        <v>77.62</v>
      </c>
      <c r="S16" t="n">
        <v>36.5</v>
      </c>
      <c r="T16" t="inlineStr">
        <is>
          <t>Above</t>
        </is>
      </c>
      <c r="U16" t="inlineStr">
        <is>
          <t>Below</t>
        </is>
      </c>
      <c r="V16" t="inlineStr">
        <is>
          <t>Automatically confirmed</t>
        </is>
      </c>
    </row>
    <row r="17">
      <c r="A17" t="n">
        <v>9</v>
      </c>
      <c r="B17">
        <f>HYPERLINK("https://imapinvasives.natureserve.org/imap/services/page/Presence/1019292.html", "View")</f>
        <v/>
      </c>
      <c r="C17" t="n">
        <v>1019292</v>
      </c>
      <c r="D17" t="n">
        <v>1019813</v>
      </c>
      <c r="E17">
        <f>HYPERLINK("http://imap3images.s3-website-us-east-1.amazonaws.com/1019813/p/Clematis_terniflora.jpg", "View")</f>
        <v/>
      </c>
      <c r="F17" t="inlineStr">
        <is>
          <t>Clematis terniflora</t>
        </is>
      </c>
      <c r="G17" t="inlineStr">
        <is>
          <t>Japanese Virgin's-bower</t>
        </is>
      </c>
      <c r="H17" t="n">
        <v>62776</v>
      </c>
      <c r="I17">
        <f>HYPERLINK("https://www.inaturalist.org/taxa/62776-Clematis-terniflora", "View")</f>
        <v/>
      </c>
      <c r="J17" t="inlineStr">
        <is>
          <t>Clematis terniflora</t>
        </is>
      </c>
      <c r="K17" t="inlineStr">
        <is>
          <t>Autumn clematis</t>
        </is>
      </c>
      <c r="L17" t="n">
        <v>62776</v>
      </c>
      <c r="M17" t="n">
        <v>18.6</v>
      </c>
      <c r="N17" t="n">
        <v>95.47</v>
      </c>
      <c r="O17" t="n">
        <v>1</v>
      </c>
      <c r="P17" t="inlineStr">
        <is>
          <t>Match</t>
        </is>
      </c>
      <c r="Q17" t="inlineStr">
        <is>
          <t>4</t>
        </is>
      </c>
      <c r="R17" t="n">
        <v>77.62</v>
      </c>
      <c r="S17" t="n">
        <v>36.5</v>
      </c>
      <c r="T17" t="inlineStr">
        <is>
          <t>Above</t>
        </is>
      </c>
      <c r="U17" t="inlineStr">
        <is>
          <t>Below</t>
        </is>
      </c>
      <c r="V17" t="inlineStr">
        <is>
          <t>Automatically confirmed</t>
        </is>
      </c>
    </row>
    <row r="18">
      <c r="A18" t="n">
        <v>10</v>
      </c>
      <c r="B18">
        <f>HYPERLINK("https://imapinvasives.natureserve.org/imap/services/page/Presence/1183051.html", "View")</f>
        <v/>
      </c>
      <c r="C18" t="n">
        <v>1183051</v>
      </c>
      <c r="D18" t="n">
        <v>1191073</v>
      </c>
      <c r="E18">
        <f>HYPERLINK("http://imap3images.s3-website-us-east-1.amazonaws.com/1191073/p/Photo1-20211130-161557.jpg", "View")</f>
        <v/>
      </c>
      <c r="F18" t="inlineStr">
        <is>
          <t>Centaurea spp. (species unknown)</t>
        </is>
      </c>
      <c r="G18" t="inlineStr">
        <is>
          <t>Centaurea (species unknown)</t>
        </is>
      </c>
      <c r="H18" t="n">
        <v>48160</v>
      </c>
      <c r="I18">
        <f>HYPERLINK("https://www.inaturalist.org/taxa/76214-Centaurea-stoebe", "View")</f>
        <v/>
      </c>
      <c r="J18" t="inlineStr">
        <is>
          <t>Centaurea stoebe</t>
        </is>
      </c>
      <c r="K18" t="inlineStr">
        <is>
          <t>Spotted knapweed</t>
        </is>
      </c>
      <c r="L18" t="n">
        <v>76214</v>
      </c>
      <c r="M18" t="n">
        <v>9.720000000000001</v>
      </c>
      <c r="N18" t="n">
        <v>48.66</v>
      </c>
      <c r="O18" t="n">
        <v>0</v>
      </c>
      <c r="P18" t="inlineStr">
        <is>
          <t>Unmatch</t>
        </is>
      </c>
      <c r="Q18" t="inlineStr">
        <is>
          <t>4</t>
        </is>
      </c>
      <c r="R18" t="n">
        <v>77.62</v>
      </c>
      <c r="S18" t="n">
        <v>36.5</v>
      </c>
      <c r="T18" t="inlineStr">
        <is>
          <t>Below</t>
        </is>
      </c>
      <c r="U18" t="inlineStr">
        <is>
          <t>Below</t>
        </is>
      </c>
      <c r="V18" t="inlineStr">
        <is>
          <t>Manual review</t>
        </is>
      </c>
    </row>
    <row r="19">
      <c r="A19" t="n">
        <v>10</v>
      </c>
      <c r="B19">
        <f>HYPERLINK("https://imapinvasives.natureserve.org/imap/services/page/Presence/1183051.html", "View")</f>
        <v/>
      </c>
      <c r="C19" t="n">
        <v>1183051</v>
      </c>
      <c r="D19" t="n">
        <v>1191072</v>
      </c>
      <c r="E19">
        <f>HYPERLINK("http://imap3images.s3-website-us-east-1.amazonaws.com/1191072/p/Photo1-20211130-161452.jpg", "View")</f>
        <v/>
      </c>
      <c r="F19" t="inlineStr">
        <is>
          <t>Lonicera spp. (species unknown)</t>
        </is>
      </c>
      <c r="G19" t="inlineStr">
        <is>
          <t>Bush Honeysuckle (species unknown)</t>
        </is>
      </c>
      <c r="H19" t="n">
        <v>51874</v>
      </c>
      <c r="I19">
        <f>HYPERLINK("https://www.inaturalist.org/taxa/59773-Lonicera-morrowii", "View")</f>
        <v/>
      </c>
      <c r="J19" t="inlineStr">
        <is>
          <t>Lonicera morrowii</t>
        </is>
      </c>
      <c r="K19" t="inlineStr">
        <is>
          <t>Morrow's honeysuckle</t>
        </is>
      </c>
      <c r="L19" t="n">
        <v>59773</v>
      </c>
      <c r="M19" t="n">
        <v>8.59</v>
      </c>
      <c r="N19" t="n">
        <v>28.46</v>
      </c>
      <c r="O19" t="n">
        <v>0</v>
      </c>
      <c r="P19" t="inlineStr">
        <is>
          <t>Unmatch</t>
        </is>
      </c>
      <c r="Q19" t="inlineStr">
        <is>
          <t>4</t>
        </is>
      </c>
      <c r="R19" t="n">
        <v>77.62</v>
      </c>
      <c r="S19" t="n">
        <v>36.5</v>
      </c>
      <c r="T19" t="inlineStr">
        <is>
          <t>Below</t>
        </is>
      </c>
      <c r="U19" t="inlineStr">
        <is>
          <t>Below</t>
        </is>
      </c>
      <c r="V19" t="inlineStr">
        <is>
          <t>Manual review</t>
        </is>
      </c>
    </row>
    <row r="20">
      <c r="A20" t="n">
        <v>10</v>
      </c>
      <c r="B20">
        <f>HYPERLINK("https://imapinvasives.natureserve.org/imap/services/page/Presence/1183051.html", "View")</f>
        <v/>
      </c>
      <c r="C20" t="n">
        <v>1183051</v>
      </c>
      <c r="D20" t="n">
        <v>1191070</v>
      </c>
      <c r="E20" t="inlineStr">
        <is>
          <t>No Photo</t>
        </is>
      </c>
      <c r="F20" t="inlineStr">
        <is>
          <t>Lythrum salicaria</t>
        </is>
      </c>
      <c r="G20" t="inlineStr">
        <is>
          <t>Purple Loosestrife</t>
        </is>
      </c>
      <c r="H20" t="n">
        <v>61321</v>
      </c>
      <c r="I20" t="inlineStr">
        <is>
          <t>Unknown</t>
        </is>
      </c>
      <c r="J20" t="inlineStr">
        <is>
          <t>Unknown</t>
        </is>
      </c>
      <c r="K20" t="inlineStr">
        <is>
          <t>Unknown</t>
        </is>
      </c>
      <c r="L20" t="inlineStr">
        <is>
          <t>Unknown</t>
        </is>
      </c>
      <c r="M20" t="inlineStr">
        <is>
          <t>Unknown</t>
        </is>
      </c>
      <c r="N20" t="inlineStr">
        <is>
          <t>Unknown</t>
        </is>
      </c>
      <c r="O20" t="n">
        <v>0</v>
      </c>
      <c r="P20" t="inlineStr">
        <is>
          <t>Unmatch</t>
        </is>
      </c>
      <c r="Q20" t="inlineStr">
        <is>
          <t>4</t>
        </is>
      </c>
      <c r="R20" t="n">
        <v>89.08</v>
      </c>
      <c r="S20" t="n">
        <v>38.21</v>
      </c>
      <c r="T20" t="inlineStr">
        <is>
          <t>Below</t>
        </is>
      </c>
      <c r="U20" t="inlineStr">
        <is>
          <t>Below</t>
        </is>
      </c>
      <c r="V20" t="inlineStr">
        <is>
          <t>Manual review</t>
        </is>
      </c>
    </row>
    <row r="21">
      <c r="A21" t="n">
        <v>10</v>
      </c>
      <c r="B21">
        <f>HYPERLINK("https://imapinvasives.natureserve.org/imap/services/page/Presence/1183051.html", "View")</f>
        <v/>
      </c>
      <c r="C21" t="n">
        <v>1183051</v>
      </c>
      <c r="D21" t="n">
        <v>1191074</v>
      </c>
      <c r="E21" t="inlineStr">
        <is>
          <t>No Photo</t>
        </is>
      </c>
      <c r="F21" t="inlineStr">
        <is>
          <t>Phragmites australis ssp. australis</t>
        </is>
      </c>
      <c r="G21" t="inlineStr">
        <is>
          <t>European Common Reed</t>
        </is>
      </c>
      <c r="H21" t="n">
        <v>556361</v>
      </c>
      <c r="I21" t="inlineStr">
        <is>
          <t>Unknown</t>
        </is>
      </c>
      <c r="J21" t="inlineStr">
        <is>
          <t>Unknown</t>
        </is>
      </c>
      <c r="K21" t="inlineStr">
        <is>
          <t>Unknown</t>
        </is>
      </c>
      <c r="L21" t="inlineStr">
        <is>
          <t>Unknown</t>
        </is>
      </c>
      <c r="M21" t="inlineStr">
        <is>
          <t>Unknown</t>
        </is>
      </c>
      <c r="N21" t="inlineStr">
        <is>
          <t>Unknown</t>
        </is>
      </c>
      <c r="O21" t="n">
        <v>0</v>
      </c>
      <c r="P21" t="inlineStr">
        <is>
          <t>Unmatch</t>
        </is>
      </c>
      <c r="Q21" t="inlineStr">
        <is>
          <t>4</t>
        </is>
      </c>
      <c r="R21" t="n">
        <v>77.62</v>
      </c>
      <c r="S21" t="n">
        <v>36.5</v>
      </c>
      <c r="T21" t="inlineStr">
        <is>
          <t>Below</t>
        </is>
      </c>
      <c r="U21" t="inlineStr">
        <is>
          <t>Below</t>
        </is>
      </c>
      <c r="V21" t="inlineStr">
        <is>
          <t>Manual review</t>
        </is>
      </c>
    </row>
    <row r="22">
      <c r="A22" t="n">
        <v>10</v>
      </c>
      <c r="B22">
        <f>HYPERLINK("https://imapinvasives.natureserve.org/imap/services/page/Presence/1183051.html", "View")</f>
        <v/>
      </c>
      <c r="C22" t="n">
        <v>1183051</v>
      </c>
      <c r="D22" t="n">
        <v>1191071</v>
      </c>
      <c r="E22">
        <f>HYPERLINK("http://imap3images.s3-website-us-east-1.amazonaws.com/1191071/p/Photo1-20211130-161914.jpg", "View")</f>
        <v/>
      </c>
      <c r="F22" t="inlineStr">
        <is>
          <t>Rhamnus cathartica</t>
        </is>
      </c>
      <c r="G22" t="inlineStr">
        <is>
          <t>Buckthorn</t>
        </is>
      </c>
      <c r="H22" t="n">
        <v>54811</v>
      </c>
      <c r="I22">
        <f>HYPERLINK("https://www.inaturalist.org/taxa/54811-Rhamnus-cathartica", "View")</f>
        <v/>
      </c>
      <c r="J22" t="inlineStr">
        <is>
          <t>Rhamnus cathartica</t>
        </is>
      </c>
      <c r="K22" t="inlineStr">
        <is>
          <t>Common buckthorn</t>
        </is>
      </c>
      <c r="L22" t="n">
        <v>54811</v>
      </c>
      <c r="M22" t="n">
        <v>38.95</v>
      </c>
      <c r="N22" t="n">
        <v>98.14</v>
      </c>
      <c r="O22" t="n">
        <v>1</v>
      </c>
      <c r="P22" t="inlineStr">
        <is>
          <t>Match</t>
        </is>
      </c>
      <c r="Q22" t="inlineStr">
        <is>
          <t>4</t>
        </is>
      </c>
      <c r="R22" t="n">
        <v>81.5</v>
      </c>
      <c r="S22" t="n">
        <v>31.47</v>
      </c>
      <c r="T22" t="inlineStr">
        <is>
          <t>Above</t>
        </is>
      </c>
      <c r="U22" t="inlineStr">
        <is>
          <t>Above</t>
        </is>
      </c>
      <c r="V22" t="inlineStr">
        <is>
          <t>Automatically confirmed</t>
        </is>
      </c>
    </row>
    <row r="23">
      <c r="A23" t="n">
        <v>12</v>
      </c>
      <c r="B23">
        <f>HYPERLINK("https://imapinvasives.natureserve.org/imap/services/page/Presence/1045374.html", "View")</f>
        <v/>
      </c>
      <c r="C23" t="n">
        <v>1045374</v>
      </c>
      <c r="D23" t="n">
        <v>1049284</v>
      </c>
      <c r="E23">
        <f>HYPERLINK("http://imap3images.s3-website-us-east-1.amazonaws.com/1049284/p/94953570_3102938803090286_8629006974643601408_n.jpg", "View")</f>
        <v/>
      </c>
      <c r="F23" t="inlineStr">
        <is>
          <t>Aegopodium podagraria</t>
        </is>
      </c>
      <c r="G23" t="inlineStr">
        <is>
          <t>Bishop's Goutweed</t>
        </is>
      </c>
      <c r="H23" t="n">
        <v>51741</v>
      </c>
      <c r="I23">
        <f>HYPERLINK("https://www.inaturalist.org/taxa/51741-Aegopodium-podagraria", "View")</f>
        <v/>
      </c>
      <c r="J23" t="inlineStr">
        <is>
          <t>Aegopodium podagraria</t>
        </is>
      </c>
      <c r="K23" t="inlineStr">
        <is>
          <t>Goutweed</t>
        </is>
      </c>
      <c r="L23" t="n">
        <v>51741</v>
      </c>
      <c r="M23" t="n">
        <v>16.27</v>
      </c>
      <c r="N23" t="n">
        <v>97.25</v>
      </c>
      <c r="O23" t="n">
        <v>1</v>
      </c>
      <c r="P23" t="inlineStr">
        <is>
          <t>Match</t>
        </is>
      </c>
      <c r="Q23" t="inlineStr">
        <is>
          <t>4</t>
        </is>
      </c>
      <c r="R23" t="n">
        <v>77.62</v>
      </c>
      <c r="S23" t="n">
        <v>36.5</v>
      </c>
      <c r="T23" t="inlineStr">
        <is>
          <t>Above</t>
        </is>
      </c>
      <c r="U23" t="inlineStr">
        <is>
          <t>Below</t>
        </is>
      </c>
      <c r="V23" t="inlineStr">
        <is>
          <t>Automatically confirmed</t>
        </is>
      </c>
    </row>
    <row r="24">
      <c r="A24" t="n">
        <v>13</v>
      </c>
      <c r="B24">
        <f>HYPERLINK("https://imapinvasives.natureserve.org/imap/services/page/Presence/1323985.html", "View")</f>
        <v/>
      </c>
      <c r="C24" t="n">
        <v>1323985</v>
      </c>
      <c r="D24" t="n">
        <v>1336633</v>
      </c>
      <c r="E24">
        <f>HYPERLINK("http://imap3images.s3-website-us-east-1.amazonaws.com/1336633/p/sacs_gosnell115.jpg", "View")</f>
        <v/>
      </c>
      <c r="F24" t="inlineStr">
        <is>
          <t>Elaeagnus umbellata</t>
        </is>
      </c>
      <c r="G24" t="inlineStr">
        <is>
          <t>Autumn-olive</t>
        </is>
      </c>
      <c r="H24" t="n">
        <v>64697</v>
      </c>
      <c r="I24">
        <f>HYPERLINK("https://www.inaturalist.org/taxa/204160-Ligustrum-obtusifolium", "View")</f>
        <v/>
      </c>
      <c r="J24" t="inlineStr">
        <is>
          <t>Ligustrum obtusifolium</t>
        </is>
      </c>
      <c r="K24" t="inlineStr">
        <is>
          <t>Border privet</t>
        </is>
      </c>
      <c r="L24" t="n">
        <v>204160</v>
      </c>
      <c r="M24" t="n">
        <v>15.37</v>
      </c>
      <c r="N24" t="n">
        <v>7.19</v>
      </c>
      <c r="O24" t="n">
        <v>0</v>
      </c>
      <c r="P24" t="inlineStr">
        <is>
          <t>Unmatch</t>
        </is>
      </c>
      <c r="Q24" t="inlineStr">
        <is>
          <t>4</t>
        </is>
      </c>
      <c r="R24" t="n">
        <v>77.62</v>
      </c>
      <c r="S24" t="n">
        <v>36.5</v>
      </c>
      <c r="T24" t="inlineStr">
        <is>
          <t>Below</t>
        </is>
      </c>
      <c r="U24" t="inlineStr">
        <is>
          <t>Below</t>
        </is>
      </c>
      <c r="V24" t="inlineStr">
        <is>
          <t>Manual review</t>
        </is>
      </c>
    </row>
    <row r="25">
      <c r="A25" t="n">
        <v>14</v>
      </c>
      <c r="B25">
        <f>HYPERLINK("https://imapinvasives.natureserve.org/imap/services/page/Presence/1324561.html", "View")</f>
        <v/>
      </c>
      <c r="C25" t="n">
        <v>1324561</v>
      </c>
      <c r="D25" t="n">
        <v>1337273</v>
      </c>
      <c r="E25">
        <f>HYPERLINK("http://imap3images.s3-website-us-east-1.amazonaws.com/1337273/p/5E7790B10C58672C7E2E01327B10DDE6_1680635298__IMG_20230404_150756.jpg", "View")</f>
        <v/>
      </c>
      <c r="F25" t="inlineStr">
        <is>
          <t>Ailanthus altissima</t>
        </is>
      </c>
      <c r="G25" t="inlineStr">
        <is>
          <t>Tree-of-Heaven</t>
        </is>
      </c>
      <c r="H25" t="n">
        <v>57278</v>
      </c>
      <c r="I25">
        <f>HYPERLINK("https://www.inaturalist.org/taxa/57278-Ailanthus-altissima", "View")</f>
        <v/>
      </c>
      <c r="J25" t="inlineStr">
        <is>
          <t>Ailanthus altissima</t>
        </is>
      </c>
      <c r="K25" t="inlineStr">
        <is>
          <t>Tree-of-heaven</t>
        </is>
      </c>
      <c r="L25" t="n">
        <v>57278</v>
      </c>
      <c r="M25" t="n">
        <v>56.98</v>
      </c>
      <c r="N25" t="n">
        <v>13.51</v>
      </c>
      <c r="O25" t="n">
        <v>1</v>
      </c>
      <c r="P25" t="inlineStr">
        <is>
          <t>Match</t>
        </is>
      </c>
      <c r="Q25" t="inlineStr">
        <is>
          <t>4</t>
        </is>
      </c>
      <c r="R25" t="n">
        <v>87.09</v>
      </c>
      <c r="S25" t="n">
        <v>32.68</v>
      </c>
      <c r="T25" t="inlineStr">
        <is>
          <t>Below</t>
        </is>
      </c>
      <c r="U25" t="inlineStr">
        <is>
          <t>Above</t>
        </is>
      </c>
      <c r="V25" t="inlineStr">
        <is>
          <t>Manual review</t>
        </is>
      </c>
    </row>
    <row r="26">
      <c r="A26" t="n">
        <v>16</v>
      </c>
      <c r="B26">
        <f>HYPERLINK("https://imapinvasives.natureserve.org/imap/services/page/Presence/1342737.html", "View")</f>
        <v/>
      </c>
      <c r="C26" t="n">
        <v>1342737</v>
      </c>
      <c r="D26" t="n">
        <v>1358220</v>
      </c>
      <c r="E26">
        <f>HYPERLINK("http://imap3images.s3-website-us-east-1.amazonaws.com/1358220/p/Photo2-20230706-135800.jpg", "View")</f>
        <v/>
      </c>
      <c r="F26" t="inlineStr">
        <is>
          <t>Adelges tsugae</t>
        </is>
      </c>
      <c r="G26" t="inlineStr">
        <is>
          <t>Hemlock Woolly Adelgid</t>
        </is>
      </c>
      <c r="H26" t="n">
        <v>61513</v>
      </c>
      <c r="I26">
        <f>HYPERLINK("https://www.inaturalist.org/taxa/54785-Quercus-palustris", "View")</f>
        <v/>
      </c>
      <c r="J26" t="inlineStr">
        <is>
          <t>Quercus palustris</t>
        </is>
      </c>
      <c r="K26" t="inlineStr">
        <is>
          <t>Pin oak</t>
        </is>
      </c>
      <c r="L26" t="n">
        <v>54785</v>
      </c>
      <c r="M26" t="n">
        <v>6.98</v>
      </c>
      <c r="N26" t="n">
        <v>13.72</v>
      </c>
      <c r="O26" t="n">
        <v>0</v>
      </c>
      <c r="P26" t="inlineStr">
        <is>
          <t>Unmatch</t>
        </is>
      </c>
      <c r="Q26" t="inlineStr">
        <is>
          <t>3</t>
        </is>
      </c>
      <c r="R26" t="n">
        <v>82.84999999999999</v>
      </c>
      <c r="S26" t="n">
        <v>21.26</v>
      </c>
      <c r="T26" t="inlineStr">
        <is>
          <t>Below</t>
        </is>
      </c>
      <c r="U26" t="inlineStr">
        <is>
          <t>Below</t>
        </is>
      </c>
      <c r="V26" t="inlineStr">
        <is>
          <t>Manual review</t>
        </is>
      </c>
    </row>
    <row r="27">
      <c r="A27" t="n">
        <v>17</v>
      </c>
      <c r="B27">
        <f>HYPERLINK("https://imapinvasives.natureserve.org/imap/services/page/Presence/1344279.html", "View")</f>
        <v/>
      </c>
      <c r="C27" t="n">
        <v>1344279</v>
      </c>
      <c r="D27" t="n">
        <v>1359945</v>
      </c>
      <c r="E27">
        <f>HYPERLINK("http://imap3images.s3-website-us-east-1.amazonaws.com/1359945/p/AIS_survey_Prendergast_Creek-1025.jpg", "View")</f>
        <v/>
      </c>
      <c r="F27" t="inlineStr">
        <is>
          <t>Nitellopsis obtusa</t>
        </is>
      </c>
      <c r="G27" t="inlineStr">
        <is>
          <t>Starry Stonewort</t>
        </is>
      </c>
      <c r="H27" t="n">
        <v>361265</v>
      </c>
      <c r="I27">
        <f>HYPERLINK("https://www.inaturalist.org/taxa/182896-Desmarestia-aculeata", "View")</f>
        <v/>
      </c>
      <c r="J27" t="inlineStr">
        <is>
          <t>Desmarestia aculeata</t>
        </is>
      </c>
      <c r="K27" t="inlineStr">
        <is>
          <t>Witch's hair</t>
        </is>
      </c>
      <c r="L27" t="n">
        <v>182896</v>
      </c>
      <c r="M27" t="n">
        <v>0</v>
      </c>
      <c r="N27" t="n">
        <v>26.38</v>
      </c>
      <c r="O27" t="n">
        <v>0</v>
      </c>
      <c r="P27" t="inlineStr">
        <is>
          <t>Unmatch</t>
        </is>
      </c>
      <c r="Q27" t="inlineStr">
        <is>
          <t>4</t>
        </is>
      </c>
      <c r="R27" t="n">
        <v>77.62</v>
      </c>
      <c r="S27" t="n">
        <v>36.5</v>
      </c>
      <c r="T27" t="inlineStr">
        <is>
          <t>Below</t>
        </is>
      </c>
      <c r="U27" t="inlineStr">
        <is>
          <t>Below</t>
        </is>
      </c>
      <c r="V27" t="inlineStr">
        <is>
          <t>Manual review</t>
        </is>
      </c>
    </row>
    <row r="28">
      <c r="A28" t="n">
        <v>18</v>
      </c>
      <c r="B28">
        <f>HYPERLINK("https://imapinvasives.natureserve.org/imap/services/page/Presence/1355565.html", "View")</f>
        <v/>
      </c>
      <c r="C28" t="n">
        <v>1355565</v>
      </c>
      <c r="D28" t="n">
        <v>1373198</v>
      </c>
      <c r="E28">
        <f>HYPERLINK("http://imap3images.s3-website-us-east-1.amazonaws.com/1373198/p/IMG_2095.jpg", "View")</f>
        <v/>
      </c>
      <c r="F28" t="inlineStr">
        <is>
          <t>Nitellopsis obtusa</t>
        </is>
      </c>
      <c r="G28" t="inlineStr">
        <is>
          <t>Starry Stonewort</t>
        </is>
      </c>
      <c r="H28" t="n">
        <v>361265</v>
      </c>
      <c r="I28">
        <f>HYPERLINK("https://www.inaturalist.org/taxa/361265-Nitellopsis-obtusa", "View")</f>
        <v/>
      </c>
      <c r="J28" t="inlineStr">
        <is>
          <t>Nitellopsis obtusa</t>
        </is>
      </c>
      <c r="K28" t="inlineStr">
        <is>
          <t>Starry stonewort</t>
        </is>
      </c>
      <c r="L28" t="n">
        <v>361265</v>
      </c>
      <c r="M28" t="n">
        <v>0.17</v>
      </c>
      <c r="N28" t="n">
        <v>80.95999999999999</v>
      </c>
      <c r="O28" t="n">
        <v>1</v>
      </c>
      <c r="P28" t="inlineStr">
        <is>
          <t>Match</t>
        </is>
      </c>
      <c r="Q28" t="inlineStr">
        <is>
          <t>4</t>
        </is>
      </c>
      <c r="R28" t="n">
        <v>77.62</v>
      </c>
      <c r="S28" t="n">
        <v>36.5</v>
      </c>
      <c r="T28" t="inlineStr">
        <is>
          <t>Above</t>
        </is>
      </c>
      <c r="U28" t="inlineStr">
        <is>
          <t>Below</t>
        </is>
      </c>
      <c r="V28" t="inlineStr">
        <is>
          <t>Automatically confirmed</t>
        </is>
      </c>
    </row>
    <row r="29">
      <c r="A29" t="n">
        <v>19</v>
      </c>
      <c r="B29">
        <f>HYPERLINK("https://imapinvasives.natureserve.org/imap/services/page/Presence/1346222.html", "View")</f>
        <v/>
      </c>
      <c r="C29" t="n">
        <v>1346222</v>
      </c>
      <c r="D29" t="n">
        <v>1362460</v>
      </c>
      <c r="E29">
        <f>HYPERLINK("http://imap3images.s3-website-us-east-1.amazonaws.com/1362460/p/Photo1-20230608-183741.jpg", "View")</f>
        <v/>
      </c>
      <c r="F29" t="inlineStr">
        <is>
          <t>Robinia pseudoacacia</t>
        </is>
      </c>
      <c r="G29" t="inlineStr">
        <is>
          <t>Black Locust</t>
        </is>
      </c>
      <c r="H29" t="n">
        <v>56088</v>
      </c>
      <c r="I29">
        <f>HYPERLINK("https://www.inaturalist.org/taxa/75995-Campsis-radicans", "View")</f>
        <v/>
      </c>
      <c r="J29" t="inlineStr">
        <is>
          <t>Campsis radicans</t>
        </is>
      </c>
      <c r="K29" t="inlineStr">
        <is>
          <t>American trumpet vine</t>
        </is>
      </c>
      <c r="L29" t="n">
        <v>75995</v>
      </c>
      <c r="M29" t="n">
        <v>2.27</v>
      </c>
      <c r="N29" t="n">
        <v>3.84</v>
      </c>
      <c r="O29" t="n">
        <v>0</v>
      </c>
      <c r="P29" t="inlineStr">
        <is>
          <t>Unmatch</t>
        </is>
      </c>
      <c r="Q29" t="inlineStr">
        <is>
          <t>4</t>
        </is>
      </c>
      <c r="R29" t="n">
        <v>77.62</v>
      </c>
      <c r="S29" t="n">
        <v>36.5</v>
      </c>
      <c r="T29" t="inlineStr">
        <is>
          <t>Below</t>
        </is>
      </c>
      <c r="U29" t="inlineStr">
        <is>
          <t>Below</t>
        </is>
      </c>
      <c r="V29" t="inlineStr">
        <is>
          <t>Manual review</t>
        </is>
      </c>
    </row>
    <row r="30">
      <c r="A30" t="n">
        <v>20</v>
      </c>
      <c r="B30">
        <f>HYPERLINK("https://imapinvasives.natureserve.org/imap/services/page/Presence/1348527.html", "View")</f>
        <v/>
      </c>
      <c r="C30" t="n">
        <v>1348527</v>
      </c>
      <c r="D30" t="n">
        <v>1365256</v>
      </c>
      <c r="E30">
        <f>HYPERLINK("http://imap3images.s3-website-us-east-1.amazonaws.com/1365256/p/IMG_1342.png", "View")</f>
        <v/>
      </c>
      <c r="F30" t="inlineStr">
        <is>
          <t>Amynthas-Metaphire spp. (species unknown)</t>
        </is>
      </c>
      <c r="G30" t="inlineStr">
        <is>
          <t>Jumping Worms (species unknown)</t>
        </is>
      </c>
      <c r="H30" t="n">
        <v>196397</v>
      </c>
      <c r="I30">
        <f>HYPERLINK("https://www.inaturalist.org/taxa/127409-Eisenia-fetida", "View")</f>
        <v/>
      </c>
      <c r="J30" t="inlineStr">
        <is>
          <t>Eisenia fetida</t>
        </is>
      </c>
      <c r="K30" t="inlineStr">
        <is>
          <t>Redworm</t>
        </is>
      </c>
      <c r="L30" t="n">
        <v>127409</v>
      </c>
      <c r="M30" t="n">
        <v>0.12</v>
      </c>
      <c r="N30" t="n">
        <v>52.23</v>
      </c>
      <c r="O30" t="n">
        <v>0</v>
      </c>
      <c r="P30" t="inlineStr">
        <is>
          <t>Unmatch</t>
        </is>
      </c>
      <c r="Q30" t="inlineStr">
        <is>
          <t>4</t>
        </is>
      </c>
      <c r="R30" t="n">
        <v>77.62</v>
      </c>
      <c r="S30" t="n">
        <v>36.5</v>
      </c>
      <c r="T30" t="inlineStr">
        <is>
          <t>Below</t>
        </is>
      </c>
      <c r="U30" t="inlineStr">
        <is>
          <t>Below</t>
        </is>
      </c>
      <c r="V30" t="inlineStr">
        <is>
          <t>Manual review</t>
        </is>
      </c>
    </row>
    <row r="31">
      <c r="A31" t="n">
        <v>21</v>
      </c>
      <c r="B31">
        <f>HYPERLINK("https://imapinvasives.natureserve.org/imap/services/page/Presence/1351159.html", "View")</f>
        <v/>
      </c>
      <c r="C31" t="n">
        <v>1351159</v>
      </c>
      <c r="D31" t="n">
        <v>1368442</v>
      </c>
      <c r="E31">
        <f>HYPERLINK("http://imap3images.s3-website-us-east-1.amazonaws.com/1368442/p/Photo3-20230206-162252.jpg", "View")</f>
        <v/>
      </c>
      <c r="F31" t="inlineStr">
        <is>
          <t>Adelges tsugae</t>
        </is>
      </c>
      <c r="G31" t="inlineStr">
        <is>
          <t>Hemlock Woolly Adelgid</t>
        </is>
      </c>
      <c r="H31" t="n">
        <v>61513</v>
      </c>
      <c r="I31">
        <f>HYPERLINK("https://www.inaturalist.org/taxa/61513-Adelges-tsugae", "View")</f>
        <v/>
      </c>
      <c r="J31" t="inlineStr">
        <is>
          <t>Adelges tsugae</t>
        </is>
      </c>
      <c r="K31" t="inlineStr">
        <is>
          <t>Hemlock woolly adelgid</t>
        </is>
      </c>
      <c r="L31" t="n">
        <v>61513</v>
      </c>
      <c r="M31" t="n">
        <v>13.86</v>
      </c>
      <c r="N31" t="n">
        <v>99.61</v>
      </c>
      <c r="O31" t="n">
        <v>1</v>
      </c>
      <c r="P31" t="inlineStr">
        <is>
          <t>Match</t>
        </is>
      </c>
      <c r="Q31" t="inlineStr">
        <is>
          <t>3</t>
        </is>
      </c>
      <c r="R31" t="n">
        <v>82.84999999999999</v>
      </c>
      <c r="S31" t="n">
        <v>21.26</v>
      </c>
      <c r="T31" t="inlineStr">
        <is>
          <t>Above</t>
        </is>
      </c>
      <c r="U31" t="inlineStr">
        <is>
          <t>Below</t>
        </is>
      </c>
      <c r="V31" t="inlineStr">
        <is>
          <t>Manual review</t>
        </is>
      </c>
    </row>
    <row r="32">
      <c r="A32" t="n">
        <v>22</v>
      </c>
      <c r="B32">
        <f>HYPERLINK("https://imapinvasives.natureserve.org/imap/services/page/Presence/1351160.html", "View")</f>
        <v/>
      </c>
      <c r="C32" t="n">
        <v>1351160</v>
      </c>
      <c r="D32" t="n">
        <v>1368443</v>
      </c>
      <c r="E32">
        <f>HYPERLINK("http://imap3images.s3-website-us-east-1.amazonaws.com/1368443/p/Photo2-20230616-151207.jpg", "View")</f>
        <v/>
      </c>
      <c r="F32" t="inlineStr">
        <is>
          <t>Lymantria dispar</t>
        </is>
      </c>
      <c r="G32" t="inlineStr">
        <is>
          <t>Spongy Moth</t>
        </is>
      </c>
      <c r="H32" t="n">
        <v>47802</v>
      </c>
      <c r="I32">
        <f>HYPERLINK("https://www.inaturalist.org/taxa/54805-Fraxinus-americana", "View")</f>
        <v/>
      </c>
      <c r="J32" t="inlineStr">
        <is>
          <t>Fraxinus americana</t>
        </is>
      </c>
      <c r="K32" t="inlineStr">
        <is>
          <t>White ash</t>
        </is>
      </c>
      <c r="L32" t="n">
        <v>54805</v>
      </c>
      <c r="M32" t="n">
        <v>9.75</v>
      </c>
      <c r="N32" t="n">
        <v>22.34</v>
      </c>
      <c r="O32" t="n">
        <v>0</v>
      </c>
      <c r="P32" t="inlineStr">
        <is>
          <t>Unmatch</t>
        </is>
      </c>
      <c r="Q32" t="inlineStr">
        <is>
          <t>4</t>
        </is>
      </c>
      <c r="R32" t="n">
        <v>77.62</v>
      </c>
      <c r="S32" t="n">
        <v>36.5</v>
      </c>
      <c r="T32" t="inlineStr">
        <is>
          <t>Below</t>
        </is>
      </c>
      <c r="U32" t="inlineStr">
        <is>
          <t>Below</t>
        </is>
      </c>
      <c r="V32" t="inlineStr">
        <is>
          <t>Manual review</t>
        </is>
      </c>
    </row>
    <row r="33">
      <c r="A33" t="n">
        <v>23</v>
      </c>
      <c r="B33">
        <f>HYPERLINK("https://imapinvasives.natureserve.org/imap/services/page/Presence/1351161.html", "View")</f>
        <v/>
      </c>
      <c r="C33" t="n">
        <v>1351161</v>
      </c>
      <c r="D33" t="n">
        <v>1368444</v>
      </c>
      <c r="E33">
        <f>HYPERLINK("http://imap3images.s3-website-us-east-1.amazonaws.com/1368444/p/Photo3-20230616-153954.jpg", "View")</f>
        <v/>
      </c>
      <c r="F33" t="inlineStr">
        <is>
          <t>Lymantria dispar</t>
        </is>
      </c>
      <c r="G33" t="inlineStr">
        <is>
          <t>Spongy Moth</t>
        </is>
      </c>
      <c r="H33" t="n">
        <v>47802</v>
      </c>
      <c r="I33">
        <f>HYPERLINK("https://www.inaturalist.org/taxa/54834-Prunus-serotina", "View")</f>
        <v/>
      </c>
      <c r="J33" t="inlineStr">
        <is>
          <t>Prunus serotina</t>
        </is>
      </c>
      <c r="K33" t="inlineStr">
        <is>
          <t>Black cherry</t>
        </is>
      </c>
      <c r="L33" t="n">
        <v>54834</v>
      </c>
      <c r="M33" t="n">
        <v>25.26</v>
      </c>
      <c r="N33" t="n">
        <v>15.35</v>
      </c>
      <c r="O33" t="n">
        <v>0</v>
      </c>
      <c r="P33" t="inlineStr">
        <is>
          <t>Unmatch</t>
        </is>
      </c>
      <c r="Q33" t="inlineStr">
        <is>
          <t>4</t>
        </is>
      </c>
      <c r="R33" t="n">
        <v>77.62</v>
      </c>
      <c r="S33" t="n">
        <v>36.5</v>
      </c>
      <c r="T33" t="inlineStr">
        <is>
          <t>Below</t>
        </is>
      </c>
      <c r="U33" t="inlineStr">
        <is>
          <t>Below</t>
        </is>
      </c>
      <c r="V33" t="inlineStr">
        <is>
          <t>Manual review</t>
        </is>
      </c>
    </row>
    <row r="34">
      <c r="A34" t="n">
        <v>24</v>
      </c>
      <c r="B34">
        <f>HYPERLINK("https://imapinvasives.natureserve.org/imap/services/page/Presence/1351361.html", "View")</f>
        <v/>
      </c>
      <c r="C34" t="n">
        <v>1351361</v>
      </c>
      <c r="D34" t="n">
        <v>1368663</v>
      </c>
      <c r="E34">
        <f>HYPERLINK("http://imap3images.s3-website-us-east-1.amazonaws.com/1368663/p/IMG_3769.jpeg", "View")</f>
        <v/>
      </c>
      <c r="F34" t="inlineStr">
        <is>
          <t>Adelges tsugae</t>
        </is>
      </c>
      <c r="G34" t="inlineStr">
        <is>
          <t>Hemlock Woolly Adelgid</t>
        </is>
      </c>
      <c r="H34" t="n">
        <v>61513</v>
      </c>
      <c r="I34">
        <f>HYPERLINK("https://www.inaturalist.org/taxa/61513-Adelges-tsugae", "View")</f>
        <v/>
      </c>
      <c r="J34" t="inlineStr">
        <is>
          <t>Adelges tsugae</t>
        </is>
      </c>
      <c r="K34" t="inlineStr">
        <is>
          <t>Hemlock woolly adelgid</t>
        </is>
      </c>
      <c r="L34" t="n">
        <v>61513</v>
      </c>
      <c r="M34" t="n">
        <v>21.64</v>
      </c>
      <c r="N34" t="n">
        <v>54.76</v>
      </c>
      <c r="O34" t="n">
        <v>1</v>
      </c>
      <c r="P34" t="inlineStr">
        <is>
          <t>Match</t>
        </is>
      </c>
      <c r="Q34" t="inlineStr">
        <is>
          <t>3</t>
        </is>
      </c>
      <c r="R34" t="n">
        <v>82.84999999999999</v>
      </c>
      <c r="S34" t="n">
        <v>21.26</v>
      </c>
      <c r="T34" t="inlineStr">
        <is>
          <t>Below</t>
        </is>
      </c>
      <c r="U34" t="inlineStr">
        <is>
          <t>Above</t>
        </is>
      </c>
      <c r="V34" t="inlineStr">
        <is>
          <t>Manual review</t>
        </is>
      </c>
    </row>
    <row r="35">
      <c r="A35" t="n">
        <v>25</v>
      </c>
      <c r="B35">
        <f>HYPERLINK("https://imapinvasives.natureserve.org/imap/services/page/Presence/1352774.html", "View")</f>
        <v/>
      </c>
      <c r="C35" t="n">
        <v>1352774</v>
      </c>
      <c r="D35" t="n">
        <v>1370163</v>
      </c>
      <c r="E35">
        <f>HYPERLINK("http://imap3images.s3-website-us-east-1.amazonaws.com/1370163/p/IMG_4771.jpeg", "View")</f>
        <v/>
      </c>
      <c r="F35" t="inlineStr">
        <is>
          <t>Amynthas-Metaphire spp. (species unknown)</t>
        </is>
      </c>
      <c r="G35" t="inlineStr">
        <is>
          <t>Jumping Worms (species unknown)</t>
        </is>
      </c>
      <c r="H35" t="n">
        <v>196397</v>
      </c>
      <c r="I35">
        <f>HYPERLINK("https://www.inaturalist.org/taxa/516514-Metaphire", "View")</f>
        <v/>
      </c>
      <c r="J35" t="inlineStr">
        <is>
          <t>Metaphire</t>
        </is>
      </c>
      <c r="K35" t="inlineStr">
        <is>
          <t>Unknown</t>
        </is>
      </c>
      <c r="L35" t="n">
        <v>516514</v>
      </c>
      <c r="M35" t="n">
        <v>0</v>
      </c>
      <c r="N35" t="n">
        <v>14.05</v>
      </c>
      <c r="O35" t="n">
        <v>0</v>
      </c>
      <c r="P35" t="inlineStr">
        <is>
          <t>Unmatch</t>
        </is>
      </c>
      <c r="Q35" t="inlineStr">
        <is>
          <t>4</t>
        </is>
      </c>
      <c r="R35" t="n">
        <v>77.62</v>
      </c>
      <c r="S35" t="n">
        <v>36.5</v>
      </c>
      <c r="T35" t="inlineStr">
        <is>
          <t>Below</t>
        </is>
      </c>
      <c r="U35" t="inlineStr">
        <is>
          <t>Below</t>
        </is>
      </c>
      <c r="V35" t="inlineStr">
        <is>
          <t>Manual review</t>
        </is>
      </c>
    </row>
    <row r="36">
      <c r="A36" t="n">
        <v>26</v>
      </c>
      <c r="B36">
        <f>HYPERLINK("https://imapinvasives.natureserve.org/imap/services/page/Presence/1355297.html", "View")</f>
        <v/>
      </c>
      <c r="C36" t="n">
        <v>1355297</v>
      </c>
      <c r="D36" t="n">
        <v>1372929</v>
      </c>
      <c r="E36">
        <f>HYPERLINK("http://imap3images.s3-website-us-east-1.amazonaws.com/1372929/p/signal-2023-10-02-212020_002.jpeg", "View")</f>
        <v/>
      </c>
      <c r="F36" t="inlineStr">
        <is>
          <t>Myrmica rubra</t>
        </is>
      </c>
      <c r="G36" t="inlineStr">
        <is>
          <t>European Fire Ant</t>
        </is>
      </c>
      <c r="H36" t="n">
        <v>119172</v>
      </c>
      <c r="I36">
        <f>HYPERLINK("https://www.inaturalist.org/taxa/119172-Myrmica-rubra", "View")</f>
        <v/>
      </c>
      <c r="J36" t="inlineStr">
        <is>
          <t>Myrmica rubra</t>
        </is>
      </c>
      <c r="K36" t="inlineStr">
        <is>
          <t>European fire ant</t>
        </is>
      </c>
      <c r="L36" t="n">
        <v>119172</v>
      </c>
      <c r="M36" t="n">
        <v>2.2</v>
      </c>
      <c r="N36" t="n">
        <v>84.34999999999999</v>
      </c>
      <c r="O36" t="n">
        <v>1</v>
      </c>
      <c r="P36" t="inlineStr">
        <is>
          <t>Match</t>
        </is>
      </c>
      <c r="Q36" t="inlineStr">
        <is>
          <t>2</t>
        </is>
      </c>
      <c r="R36" t="n">
        <v>77.62</v>
      </c>
      <c r="S36" t="n">
        <v>36.5</v>
      </c>
      <c r="T36" t="inlineStr">
        <is>
          <t>Above</t>
        </is>
      </c>
      <c r="U36" t="inlineStr">
        <is>
          <t>Below</t>
        </is>
      </c>
      <c r="V36" t="inlineStr">
        <is>
          <t>Manual review</t>
        </is>
      </c>
    </row>
    <row r="37">
      <c r="A37" t="n">
        <v>27</v>
      </c>
      <c r="B37">
        <f>HYPERLINK("https://imapinvasives.natureserve.org/imap/services/page/Presence/1355661.html", "View")</f>
        <v/>
      </c>
      <c r="C37" t="n">
        <v>1355661</v>
      </c>
      <c r="D37" t="n">
        <v>1373294</v>
      </c>
      <c r="E37">
        <f>HYPERLINK("http://imap3images.s3-website-us-east-1.amazonaws.com/1373294/p/IMG_2103.jpg", "View")</f>
        <v/>
      </c>
      <c r="F37" t="inlineStr">
        <is>
          <t>Hydrocharis morsus-ranae</t>
        </is>
      </c>
      <c r="G37" t="inlineStr">
        <is>
          <t>Common Frogbit</t>
        </is>
      </c>
      <c r="H37" t="n">
        <v>81600</v>
      </c>
      <c r="I37">
        <f>HYPERLINK("https://www.inaturalist.org/taxa/81600-Hydrocharis-morsus-ranae", "View")</f>
        <v/>
      </c>
      <c r="J37" t="inlineStr">
        <is>
          <t>Hydrocharis morsus-ranae</t>
        </is>
      </c>
      <c r="K37" t="inlineStr">
        <is>
          <t>European frog-bit</t>
        </is>
      </c>
      <c r="L37" t="n">
        <v>81600</v>
      </c>
      <c r="M37" t="n">
        <v>1.04</v>
      </c>
      <c r="N37" t="n">
        <v>54.99</v>
      </c>
      <c r="O37" t="n">
        <v>1</v>
      </c>
      <c r="P37" t="inlineStr">
        <is>
          <t>Match</t>
        </is>
      </c>
      <c r="Q37" t="inlineStr">
        <is>
          <t>4</t>
        </is>
      </c>
      <c r="R37" t="n">
        <v>77.62</v>
      </c>
      <c r="S37" t="n">
        <v>36.5</v>
      </c>
      <c r="T37" t="inlineStr">
        <is>
          <t>Below</t>
        </is>
      </c>
      <c r="U37" t="inlineStr">
        <is>
          <t>Below</t>
        </is>
      </c>
      <c r="V37" t="inlineStr">
        <is>
          <t>Manual review</t>
        </is>
      </c>
    </row>
    <row r="38">
      <c r="A38" t="n">
        <v>28</v>
      </c>
      <c r="B38">
        <f>HYPERLINK("https://imapinvasives.natureserve.org/imap/services/page/Presence/1356143.html", "View")</f>
        <v/>
      </c>
      <c r="C38" t="n">
        <v>1356143</v>
      </c>
      <c r="D38" t="n">
        <v>1373777</v>
      </c>
      <c r="E38">
        <f>HYPERLINK("http://imap3images.s3-website-us-east-1.amazonaws.com/1373777/p/MineKill_Elm_ZigZag_1.jpeg", "View")</f>
        <v/>
      </c>
      <c r="F38" t="inlineStr">
        <is>
          <t>Aproceros leucopoda</t>
        </is>
      </c>
      <c r="G38" t="inlineStr">
        <is>
          <t>Elm zigzag sawfly</t>
        </is>
      </c>
      <c r="I38">
        <f>HYPERLINK("https://www.inaturalist.org/taxa/497733-Aproceros-leucopoda", "View")</f>
        <v/>
      </c>
      <c r="J38" t="inlineStr">
        <is>
          <t>Aproceros leucopoda</t>
        </is>
      </c>
      <c r="K38" t="inlineStr">
        <is>
          <t>Elm zigzag sawfly</t>
        </is>
      </c>
      <c r="L38" t="n">
        <v>497733</v>
      </c>
      <c r="M38" t="n">
        <v>0.23</v>
      </c>
      <c r="N38" t="n">
        <v>75.45</v>
      </c>
      <c r="O38" t="n">
        <v>0</v>
      </c>
      <c r="P38" t="inlineStr">
        <is>
          <t>Unmatch</t>
        </is>
      </c>
      <c r="Q38" t="inlineStr">
        <is>
          <t>M</t>
        </is>
      </c>
      <c r="R38" t="n">
        <v>77.62</v>
      </c>
      <c r="S38" t="n">
        <v>36.5</v>
      </c>
      <c r="T38" t="inlineStr">
        <is>
          <t>Below</t>
        </is>
      </c>
      <c r="U38" t="inlineStr">
        <is>
          <t>Below</t>
        </is>
      </c>
      <c r="V38" t="inlineStr">
        <is>
          <t>Manual review</t>
        </is>
      </c>
    </row>
    <row r="39">
      <c r="A39" t="n">
        <v>29</v>
      </c>
      <c r="B39">
        <f>HYPERLINK("https://imapinvasives.natureserve.org/imap/services/page/Presence/1391918.html", "View")</f>
        <v/>
      </c>
      <c r="C39" t="n">
        <v>1391918</v>
      </c>
      <c r="D39" t="n">
        <v>1410051</v>
      </c>
      <c r="E39">
        <f>HYPERLINK("http://imap3images.s3-website-us-east-1.amazonaws.com/1410051/p/Snail.JPG", "View")</f>
        <v/>
      </c>
      <c r="F39" t="inlineStr">
        <is>
          <t>Cipangopaludina chinensis</t>
        </is>
      </c>
      <c r="G39" t="inlineStr">
        <is>
          <t>Chinese Mysterysnail</t>
        </is>
      </c>
      <c r="H39" t="n">
        <v>83795</v>
      </c>
      <c r="I39">
        <f>HYPERLINK("https://www.inaturalist.org/taxa/39771-Chrysemys-picta", "View")</f>
        <v/>
      </c>
      <c r="J39" t="inlineStr">
        <is>
          <t>Chrysemys picta</t>
        </is>
      </c>
      <c r="K39" t="inlineStr">
        <is>
          <t>Painted turtle</t>
        </is>
      </c>
      <c r="L39" t="n">
        <v>39771</v>
      </c>
      <c r="M39" t="n">
        <v>46.79</v>
      </c>
      <c r="N39" t="n">
        <v>22.5</v>
      </c>
      <c r="O39" t="n">
        <v>0</v>
      </c>
      <c r="P39" t="inlineStr">
        <is>
          <t>Unmatch</t>
        </is>
      </c>
      <c r="Q39" t="inlineStr">
        <is>
          <t>4</t>
        </is>
      </c>
      <c r="R39" t="n">
        <v>77.62</v>
      </c>
      <c r="S39" t="n">
        <v>36.5</v>
      </c>
      <c r="T39" t="inlineStr">
        <is>
          <t>Below</t>
        </is>
      </c>
      <c r="U39" t="inlineStr">
        <is>
          <t>Above</t>
        </is>
      </c>
      <c r="V39" t="inlineStr">
        <is>
          <t>Manual review</t>
        </is>
      </c>
    </row>
    <row r="40">
      <c r="A40" t="n">
        <v>30</v>
      </c>
      <c r="B40">
        <f>HYPERLINK("https://imapinvasives.natureserve.org/imap/services/page/Presence/512894.html", "View")</f>
        <v/>
      </c>
      <c r="C40" t="n">
        <v>512894</v>
      </c>
      <c r="D40" t="n">
        <v>512894</v>
      </c>
      <c r="E40">
        <f>HYPERLINK("http://imap3images.s3-website-us-east-1.amazonaws.com/512894/p/photourl1_2017_07_13_kevsanders_tdmjbocm.jpg", "View")</f>
        <v/>
      </c>
      <c r="F40" t="inlineStr">
        <is>
          <t>Artemisia vulgaris</t>
        </is>
      </c>
      <c r="G40" t="inlineStr">
        <is>
          <t>Common Wormwood</t>
        </is>
      </c>
      <c r="H40" t="n">
        <v>52856</v>
      </c>
      <c r="I40">
        <f>HYPERLINK("https://www.inaturalist.org/taxa/126369-Anemone-virginiana", "View")</f>
        <v/>
      </c>
      <c r="J40" t="inlineStr">
        <is>
          <t>Anemone virginiana</t>
        </is>
      </c>
      <c r="K40" t="inlineStr">
        <is>
          <t>Tall thimbleweed</t>
        </is>
      </c>
      <c r="L40" t="n">
        <v>126369</v>
      </c>
      <c r="M40" t="n">
        <v>7.94</v>
      </c>
      <c r="N40" t="n">
        <v>74.44</v>
      </c>
      <c r="O40" t="n">
        <v>0</v>
      </c>
      <c r="P40" t="inlineStr">
        <is>
          <t>Unmatch</t>
        </is>
      </c>
      <c r="Q40" t="inlineStr">
        <is>
          <t>4</t>
        </is>
      </c>
      <c r="R40" t="n">
        <v>77.62</v>
      </c>
      <c r="S40" t="n">
        <v>36.5</v>
      </c>
      <c r="T40" t="inlineStr">
        <is>
          <t>Below</t>
        </is>
      </c>
      <c r="U40" t="inlineStr">
        <is>
          <t>Below</t>
        </is>
      </c>
      <c r="V40" t="inlineStr">
        <is>
          <t>Manual review</t>
        </is>
      </c>
    </row>
    <row r="41">
      <c r="A41" t="n">
        <v>31</v>
      </c>
      <c r="B41">
        <f>HYPERLINK("https://imapinvasives.natureserve.org/imap/services/page/Presence/1249974.html", "View")</f>
        <v/>
      </c>
      <c r="C41" t="n">
        <v>1249974</v>
      </c>
      <c r="D41" t="n">
        <v>1258267</v>
      </c>
      <c r="E41">
        <f>HYPERLINK("http://imap3images.s3-website-us-east-1.amazonaws.com/1258267/p/20210817_101541.jpg", "View")</f>
        <v/>
      </c>
      <c r="F41" t="inlineStr">
        <is>
          <t>Artemisia vulgaris</t>
        </is>
      </c>
      <c r="G41" t="inlineStr">
        <is>
          <t>Common Wormwood</t>
        </is>
      </c>
      <c r="H41" t="n">
        <v>52856</v>
      </c>
      <c r="I41">
        <f>HYPERLINK("https://www.inaturalist.org/taxa/52856-Artemisia-vulgaris", "View")</f>
        <v/>
      </c>
      <c r="J41" t="inlineStr">
        <is>
          <t>Artemisia vulgaris</t>
        </is>
      </c>
      <c r="K41" t="inlineStr">
        <is>
          <t>Common mugwort</t>
        </is>
      </c>
      <c r="L41" t="n">
        <v>52856</v>
      </c>
      <c r="M41" t="n">
        <v>32.46</v>
      </c>
      <c r="N41" t="n">
        <v>26.37</v>
      </c>
      <c r="O41" t="n">
        <v>1</v>
      </c>
      <c r="P41" t="inlineStr">
        <is>
          <t>Match</t>
        </is>
      </c>
      <c r="Q41" t="inlineStr">
        <is>
          <t>4</t>
        </is>
      </c>
      <c r="R41" t="n">
        <v>77.62</v>
      </c>
      <c r="S41" t="n">
        <v>36.5</v>
      </c>
      <c r="T41" t="inlineStr">
        <is>
          <t>Below</t>
        </is>
      </c>
      <c r="U41" t="inlineStr">
        <is>
          <t>Below</t>
        </is>
      </c>
      <c r="V41" t="inlineStr">
        <is>
          <t>Manual review</t>
        </is>
      </c>
    </row>
    <row r="42">
      <c r="A42" t="n">
        <v>32</v>
      </c>
      <c r="B42">
        <f>HYPERLINK("https://imapinvasives.natureserve.org/imap/services/page/Presence/512896.html", "View")</f>
        <v/>
      </c>
      <c r="C42" t="n">
        <v>512896</v>
      </c>
      <c r="D42" t="n">
        <v>512896</v>
      </c>
      <c r="E42">
        <f>HYPERLINK("http://imap3images.s3-website-us-east-1.amazonaws.com/512896/p/photourl1_2017_07_13_kevsanders_nw2rgn7e.jpg", "View")</f>
        <v/>
      </c>
      <c r="F42" t="inlineStr">
        <is>
          <t>Artemisia vulgaris</t>
        </is>
      </c>
      <c r="G42" t="inlineStr">
        <is>
          <t>Common Wormwood</t>
        </is>
      </c>
      <c r="H42" t="n">
        <v>52856</v>
      </c>
      <c r="I42">
        <f>HYPERLINK("https://www.inaturalist.org/taxa/48229-Ranunculus-repens", "View")</f>
        <v/>
      </c>
      <c r="J42" t="inlineStr">
        <is>
          <t>Ranunculus repens</t>
        </is>
      </c>
      <c r="K42" t="inlineStr">
        <is>
          <t>Creeping buttercup</t>
        </is>
      </c>
      <c r="L42" t="n">
        <v>48229</v>
      </c>
      <c r="M42" t="n">
        <v>6.02</v>
      </c>
      <c r="N42" t="n">
        <v>91.98999999999999</v>
      </c>
      <c r="O42" t="n">
        <v>0</v>
      </c>
      <c r="P42" t="inlineStr">
        <is>
          <t>Unmatch</t>
        </is>
      </c>
      <c r="Q42" t="inlineStr">
        <is>
          <t>4</t>
        </is>
      </c>
      <c r="R42" t="n">
        <v>77.62</v>
      </c>
      <c r="S42" t="n">
        <v>36.5</v>
      </c>
      <c r="T42" t="inlineStr">
        <is>
          <t>Above</t>
        </is>
      </c>
      <c r="U42" t="inlineStr">
        <is>
          <t>Below</t>
        </is>
      </c>
      <c r="V42" t="inlineStr">
        <is>
          <t>Manual review</t>
        </is>
      </c>
    </row>
    <row r="43">
      <c r="A43" t="n">
        <v>34</v>
      </c>
      <c r="B43">
        <f>HYPERLINK("https://imapinvasives.natureserve.org/imap/services/page/Presence/1365813.html", "View")</f>
        <v/>
      </c>
      <c r="C43" t="n">
        <v>1365813</v>
      </c>
      <c r="D43" t="n">
        <v>1383853</v>
      </c>
      <c r="E43">
        <f>HYPERLINK("http://imap3images.s3-website-us-east-1.amazonaws.com/1383853/p/DSCN5605_-_Copy.JPG", "View")</f>
        <v/>
      </c>
      <c r="F43" t="inlineStr">
        <is>
          <t>Agrilus planipennis</t>
        </is>
      </c>
      <c r="G43" t="inlineStr">
        <is>
          <t>Emerald Ash Borer</t>
        </is>
      </c>
      <c r="H43" t="n">
        <v>70057</v>
      </c>
      <c r="I43">
        <f>HYPERLINK("https://www.inaturalist.org/taxa/70057-Agrilus-planipennis", "View")</f>
        <v/>
      </c>
      <c r="J43" t="inlineStr">
        <is>
          <t>Agrilus planipennis</t>
        </is>
      </c>
      <c r="K43" t="inlineStr">
        <is>
          <t>Emerald ash borer</t>
        </is>
      </c>
      <c r="L43" t="n">
        <v>70057</v>
      </c>
      <c r="M43" t="n">
        <v>2.03</v>
      </c>
      <c r="N43" t="n">
        <v>25.81</v>
      </c>
      <c r="O43" t="n">
        <v>1</v>
      </c>
      <c r="P43" t="inlineStr">
        <is>
          <t>Match</t>
        </is>
      </c>
      <c r="Q43" t="inlineStr">
        <is>
          <t>4</t>
        </is>
      </c>
      <c r="R43" t="n">
        <v>77.62</v>
      </c>
      <c r="S43" t="n">
        <v>36.5</v>
      </c>
      <c r="T43" t="inlineStr">
        <is>
          <t>Below</t>
        </is>
      </c>
      <c r="U43" t="inlineStr">
        <is>
          <t>Below</t>
        </is>
      </c>
      <c r="V43" t="inlineStr">
        <is>
          <t>Manual review</t>
        </is>
      </c>
    </row>
    <row r="44">
      <c r="A44" t="n">
        <v>35</v>
      </c>
      <c r="B44">
        <f>HYPERLINK("https://imapinvasives.natureserve.org/imap/services/page/Presence/1410194.html", "View")</f>
        <v/>
      </c>
      <c r="C44" t="n">
        <v>1410194</v>
      </c>
      <c r="D44" t="n">
        <v>1422644</v>
      </c>
      <c r="E44">
        <f>HYPERLINK("http://imap3images.s3-website-us-east-1.amazonaws.com/1422644/p/j_k.png", "View")</f>
        <v/>
      </c>
      <c r="F44" t="inlineStr">
        <is>
          <t>Reynoutria japonica var. japonica</t>
        </is>
      </c>
      <c r="G44" t="inlineStr">
        <is>
          <t>Japanese Knotweed</t>
        </is>
      </c>
      <c r="H44" t="n">
        <v>914922</v>
      </c>
      <c r="I44">
        <f>HYPERLINK("https://www.inaturalist.org/taxa/62377-Rubus-odoratus", "View")</f>
        <v/>
      </c>
      <c r="J44" t="inlineStr">
        <is>
          <t>Rubus odoratus</t>
        </is>
      </c>
      <c r="K44" t="inlineStr">
        <is>
          <t>Purple-flowered raspberry</t>
        </is>
      </c>
      <c r="L44" t="n">
        <v>62377</v>
      </c>
      <c r="M44" t="n">
        <v>24.6</v>
      </c>
      <c r="N44" t="n">
        <v>12.73</v>
      </c>
      <c r="O44" t="n">
        <v>0</v>
      </c>
      <c r="P44" t="inlineStr">
        <is>
          <t>Unmatch</t>
        </is>
      </c>
      <c r="Q44" t="inlineStr">
        <is>
          <t>nan</t>
        </is>
      </c>
      <c r="R44" t="n">
        <v>77.62</v>
      </c>
      <c r="S44" t="n">
        <v>36.5</v>
      </c>
      <c r="T44" t="inlineStr">
        <is>
          <t>Below</t>
        </is>
      </c>
      <c r="U44" t="inlineStr">
        <is>
          <t>Below</t>
        </is>
      </c>
      <c r="V44" t="inlineStr">
        <is>
          <t>Manual review</t>
        </is>
      </c>
    </row>
    <row r="45">
      <c r="A45" t="n">
        <v>36</v>
      </c>
      <c r="B45">
        <f>HYPERLINK("https://imapinvasives.natureserve.org/imap/services/page/Presence/1410778.html", "View")</f>
        <v/>
      </c>
      <c r="C45" t="n">
        <v>1410778</v>
      </c>
      <c r="D45" t="n">
        <v>1423318</v>
      </c>
      <c r="E45">
        <f>HYPERLINK("http://imap3images.s3-website-us-east-1.amazonaws.com/1423318/p/IMG_1881.jpeg", "View")</f>
        <v/>
      </c>
      <c r="F45" t="inlineStr">
        <is>
          <t>Reynoutria japonica var. japonica</t>
        </is>
      </c>
      <c r="G45" t="inlineStr">
        <is>
          <t>Japanese Knotweed</t>
        </is>
      </c>
      <c r="H45" t="n">
        <v>914922</v>
      </c>
      <c r="I45">
        <f>HYPERLINK("https://www.inaturalist.org/taxa/914922-Reynoutria-japonica", "View")</f>
        <v/>
      </c>
      <c r="J45" t="inlineStr">
        <is>
          <t>Reynoutria japonica</t>
        </is>
      </c>
      <c r="K45" t="inlineStr">
        <is>
          <t>Japanese knotweed</t>
        </is>
      </c>
      <c r="L45" t="n">
        <v>914922</v>
      </c>
      <c r="M45" t="n">
        <v>25.36</v>
      </c>
      <c r="N45" t="n">
        <v>99.61</v>
      </c>
      <c r="O45" t="n">
        <v>1</v>
      </c>
      <c r="P45" t="inlineStr">
        <is>
          <t>Match</t>
        </is>
      </c>
      <c r="Q45" t="inlineStr">
        <is>
          <t>nan</t>
        </is>
      </c>
      <c r="R45" t="n">
        <v>77.62</v>
      </c>
      <c r="S45" t="n">
        <v>36.5</v>
      </c>
      <c r="T45" t="inlineStr">
        <is>
          <t>Above</t>
        </is>
      </c>
      <c r="U45" t="inlineStr">
        <is>
          <t>Below</t>
        </is>
      </c>
      <c r="V45" t="inlineStr">
        <is>
          <t>Automatically confirmed</t>
        </is>
      </c>
    </row>
    <row r="46">
      <c r="A46" t="n">
        <v>37</v>
      </c>
      <c r="B46">
        <f>HYPERLINK("https://imapinvasives.natureserve.org/imap/services/page/Presence/1390011.html", "View")</f>
        <v/>
      </c>
      <c r="C46" t="n">
        <v>1390011</v>
      </c>
      <c r="D46" t="n">
        <v>1408115</v>
      </c>
      <c r="E46">
        <f>HYPERLINK("http://imap3images.s3-website-us-east-1.amazonaws.com/1408115/p/Photo1-20231010-132654.jpg", "View")</f>
        <v/>
      </c>
      <c r="F46" t="inlineStr">
        <is>
          <t>Agrilus planipennis</t>
        </is>
      </c>
      <c r="G46" t="inlineStr">
        <is>
          <t>Emerald Ash Borer</t>
        </is>
      </c>
      <c r="H46" t="n">
        <v>70057</v>
      </c>
      <c r="I46">
        <f>HYPERLINK("https://www.inaturalist.org/taxa/70057-Agrilus-planipennis", "View")</f>
        <v/>
      </c>
      <c r="J46" t="inlineStr">
        <is>
          <t>Agrilus planipennis</t>
        </is>
      </c>
      <c r="K46" t="inlineStr">
        <is>
          <t>Emerald ash borer</t>
        </is>
      </c>
      <c r="L46" t="n">
        <v>70057</v>
      </c>
      <c r="M46" t="n">
        <v>8.76</v>
      </c>
      <c r="N46" t="n">
        <v>52.1</v>
      </c>
      <c r="O46" t="n">
        <v>1</v>
      </c>
      <c r="P46" t="inlineStr">
        <is>
          <t>Match</t>
        </is>
      </c>
      <c r="Q46" t="inlineStr">
        <is>
          <t>4</t>
        </is>
      </c>
      <c r="R46" t="n">
        <v>77.62</v>
      </c>
      <c r="S46" t="n">
        <v>36.5</v>
      </c>
      <c r="T46" t="inlineStr">
        <is>
          <t>Below</t>
        </is>
      </c>
      <c r="U46" t="inlineStr">
        <is>
          <t>Below</t>
        </is>
      </c>
      <c r="V46" t="inlineStr">
        <is>
          <t>Manual review</t>
        </is>
      </c>
    </row>
    <row r="47">
      <c r="A47" t="n">
        <v>38</v>
      </c>
      <c r="B47">
        <f>HYPERLINK("https://imapinvasives.natureserve.org/imap/services/page/Presence/1182390.html", "View")</f>
        <v/>
      </c>
      <c r="C47" t="n">
        <v>1182390</v>
      </c>
      <c r="D47" t="n">
        <v>1190352</v>
      </c>
      <c r="E47">
        <f>HYPERLINK("http://imap3images.s3-website-us-east-1.amazonaws.com/1190352/p/IMG_20211124_090018.jpg", "View")</f>
        <v/>
      </c>
      <c r="F47" t="inlineStr">
        <is>
          <t>Sorghum halepense</t>
        </is>
      </c>
      <c r="G47" t="inlineStr">
        <is>
          <t>Johnson Grass</t>
        </is>
      </c>
      <c r="H47" t="n">
        <v>58387</v>
      </c>
      <c r="I47">
        <f>HYPERLINK("https://www.inaturalist.org/taxa/125727-Panicum-virgatum", "View")</f>
        <v/>
      </c>
      <c r="J47" t="inlineStr">
        <is>
          <t>Panicum virgatum</t>
        </is>
      </c>
      <c r="K47" t="inlineStr">
        <is>
          <t>Switchgrass</t>
        </is>
      </c>
      <c r="L47" t="n">
        <v>125727</v>
      </c>
      <c r="M47" t="n">
        <v>3.38</v>
      </c>
      <c r="N47" t="n">
        <v>22.83</v>
      </c>
      <c r="O47" t="n">
        <v>0</v>
      </c>
      <c r="P47" t="inlineStr">
        <is>
          <t>Unmatch</t>
        </is>
      </c>
      <c r="Q47" t="inlineStr">
        <is>
          <t>M</t>
        </is>
      </c>
      <c r="R47" t="n">
        <v>77.62</v>
      </c>
      <c r="S47" t="n">
        <v>36.5</v>
      </c>
      <c r="T47" t="inlineStr">
        <is>
          <t>Below</t>
        </is>
      </c>
      <c r="U47" t="inlineStr">
        <is>
          <t>Below</t>
        </is>
      </c>
      <c r="V47" t="inlineStr">
        <is>
          <t>Manual review</t>
        </is>
      </c>
    </row>
    <row r="48">
      <c r="A48" t="n">
        <v>39</v>
      </c>
      <c r="B48">
        <f>HYPERLINK("https://imapinvasives.natureserve.org/imap/services/page/Presence/1391610.html", "View")</f>
        <v/>
      </c>
      <c r="C48" t="n">
        <v>1391610</v>
      </c>
      <c r="D48" t="n">
        <v>1409743</v>
      </c>
      <c r="E48">
        <f>HYPERLINK("http://imap3images.s3-website-us-east-1.amazonaws.com/1409743/p/IMG_2932_1710356728795.jpg", "View")</f>
        <v/>
      </c>
      <c r="F48" t="inlineStr">
        <is>
          <t>Adelges tsugae</t>
        </is>
      </c>
      <c r="G48" t="inlineStr">
        <is>
          <t>Hemlock Woolly Adelgid</t>
        </is>
      </c>
      <c r="H48" t="n">
        <v>61513</v>
      </c>
      <c r="I48">
        <f>HYPERLINK("https://www.inaturalist.org/taxa/61513-Adelges-tsugae", "View")</f>
        <v/>
      </c>
      <c r="J48" t="inlineStr">
        <is>
          <t>Adelges tsugae</t>
        </is>
      </c>
      <c r="K48" t="inlineStr">
        <is>
          <t>Hemlock woolly adelgid</t>
        </is>
      </c>
      <c r="L48" t="n">
        <v>61513</v>
      </c>
      <c r="M48" t="n">
        <v>8.49</v>
      </c>
      <c r="N48" t="n">
        <v>94.73</v>
      </c>
      <c r="O48" t="n">
        <v>1</v>
      </c>
      <c r="P48" t="inlineStr">
        <is>
          <t>Match</t>
        </is>
      </c>
      <c r="Q48" t="inlineStr">
        <is>
          <t>3</t>
        </is>
      </c>
      <c r="R48" t="n">
        <v>82.84999999999999</v>
      </c>
      <c r="S48" t="n">
        <v>21.26</v>
      </c>
      <c r="T48" t="inlineStr">
        <is>
          <t>Above</t>
        </is>
      </c>
      <c r="U48" t="inlineStr">
        <is>
          <t>Below</t>
        </is>
      </c>
      <c r="V48" t="inlineStr">
        <is>
          <t>Manual review</t>
        </is>
      </c>
    </row>
    <row r="49">
      <c r="A49" t="n">
        <v>40</v>
      </c>
      <c r="B49">
        <f>HYPERLINK("https://imapinvasives.natureserve.org/imap/services/page/Presence/1393455.html", "View")</f>
        <v/>
      </c>
      <c r="C49" t="n">
        <v>1393455</v>
      </c>
      <c r="D49" t="n">
        <v>1411588</v>
      </c>
      <c r="E49">
        <f>HYPERLINK("http://imap3images.s3-website-us-east-1.amazonaws.com/1411588/p/FS-3-26-24.jpg", "View")</f>
        <v/>
      </c>
      <c r="F49" t="inlineStr">
        <is>
          <t>Adelges tsugae</t>
        </is>
      </c>
      <c r="G49" t="inlineStr">
        <is>
          <t>Hemlock Woolly Adelgid</t>
        </is>
      </c>
      <c r="H49" t="n">
        <v>61513</v>
      </c>
      <c r="I49">
        <f>HYPERLINK("https://www.inaturalist.org/taxa/48734-Tsuga-canadensis", "View")</f>
        <v/>
      </c>
      <c r="J49" t="inlineStr">
        <is>
          <t>Tsuga canadensis</t>
        </is>
      </c>
      <c r="K49" t="inlineStr">
        <is>
          <t>Eastern hemlock</t>
        </is>
      </c>
      <c r="L49" t="n">
        <v>48734</v>
      </c>
      <c r="M49" t="n">
        <v>24.99</v>
      </c>
      <c r="N49" t="n">
        <v>88.34999999999999</v>
      </c>
      <c r="O49" t="n">
        <v>0</v>
      </c>
      <c r="P49" t="inlineStr">
        <is>
          <t>Unmatch</t>
        </is>
      </c>
      <c r="Q49" t="inlineStr">
        <is>
          <t>3</t>
        </is>
      </c>
      <c r="R49" t="n">
        <v>82.84999999999999</v>
      </c>
      <c r="S49" t="n">
        <v>21.26</v>
      </c>
      <c r="T49" t="inlineStr">
        <is>
          <t>Above</t>
        </is>
      </c>
      <c r="U49" t="inlineStr">
        <is>
          <t>Above</t>
        </is>
      </c>
      <c r="V49" t="inlineStr">
        <is>
          <t>Manual review</t>
        </is>
      </c>
    </row>
    <row r="50">
      <c r="A50" t="n">
        <v>41</v>
      </c>
      <c r="B50">
        <f>HYPERLINK("https://imapinvasives.natureserve.org/imap/services/page/Presence/1069269.html", "View")</f>
        <v/>
      </c>
      <c r="C50" t="n">
        <v>1069269</v>
      </c>
      <c r="D50" t="n">
        <v>1074127</v>
      </c>
      <c r="E50">
        <f>HYPERLINK("http://imap3images.s3-website-us-east-1.amazonaws.com/1074127/p/20200915_121712.jpg", "View")</f>
        <v/>
      </c>
      <c r="F50" t="inlineStr">
        <is>
          <t>Artemisia vulgaris</t>
        </is>
      </c>
      <c r="G50" t="inlineStr">
        <is>
          <t>Common Wormwood</t>
        </is>
      </c>
      <c r="H50" t="n">
        <v>52856</v>
      </c>
      <c r="I50">
        <f>HYPERLINK("https://www.inaturalist.org/taxa/67808-Solidago-canadensis", "View")</f>
        <v/>
      </c>
      <c r="J50" t="inlineStr">
        <is>
          <t>Solidago canadensis</t>
        </is>
      </c>
      <c r="K50" t="inlineStr">
        <is>
          <t>Canada goldenrod</t>
        </is>
      </c>
      <c r="L50" t="n">
        <v>67808</v>
      </c>
      <c r="M50" t="n">
        <v>7.19</v>
      </c>
      <c r="N50" t="n">
        <v>40.97</v>
      </c>
      <c r="O50" t="n">
        <v>0</v>
      </c>
      <c r="P50" t="inlineStr">
        <is>
          <t>Unmatch</t>
        </is>
      </c>
      <c r="Q50" t="inlineStr">
        <is>
          <t>4</t>
        </is>
      </c>
      <c r="R50" t="n">
        <v>77.62</v>
      </c>
      <c r="S50" t="n">
        <v>36.5</v>
      </c>
      <c r="T50" t="inlineStr">
        <is>
          <t>Below</t>
        </is>
      </c>
      <c r="U50" t="inlineStr">
        <is>
          <t>Below</t>
        </is>
      </c>
      <c r="V50" t="inlineStr">
        <is>
          <t>Manual review</t>
        </is>
      </c>
    </row>
    <row r="51">
      <c r="A51" t="n">
        <v>42</v>
      </c>
      <c r="B51">
        <f>HYPERLINK("https://imapinvasives.natureserve.org/imap/services/page/Presence/1165069.html", "View")</f>
        <v/>
      </c>
      <c r="C51" t="n">
        <v>1165069</v>
      </c>
      <c r="D51" t="n">
        <v>1172328</v>
      </c>
      <c r="E51">
        <f>HYPERLINK("http://imap3images.s3-website-us-east-1.amazonaws.com/1172328/p/20210603_154249.jpg", "View")</f>
        <v/>
      </c>
      <c r="F51" t="inlineStr">
        <is>
          <t>Artemisia vulgaris</t>
        </is>
      </c>
      <c r="G51" t="inlineStr">
        <is>
          <t>Common Wormwood</t>
        </is>
      </c>
      <c r="H51" t="n">
        <v>52856</v>
      </c>
      <c r="I51">
        <f>HYPERLINK("https://www.inaturalist.org/taxa/52856-Artemisia-vulgaris", "View")</f>
        <v/>
      </c>
      <c r="J51" t="inlineStr">
        <is>
          <t>Artemisia vulgaris</t>
        </is>
      </c>
      <c r="K51" t="inlineStr">
        <is>
          <t>Common mugwort</t>
        </is>
      </c>
      <c r="L51" t="n">
        <v>52856</v>
      </c>
      <c r="M51" t="n">
        <v>32.46</v>
      </c>
      <c r="N51" t="n">
        <v>90.91</v>
      </c>
      <c r="O51" t="n">
        <v>1</v>
      </c>
      <c r="P51" t="inlineStr">
        <is>
          <t>Match</t>
        </is>
      </c>
      <c r="Q51" t="inlineStr">
        <is>
          <t>4</t>
        </is>
      </c>
      <c r="R51" t="n">
        <v>77.62</v>
      </c>
      <c r="S51" t="n">
        <v>36.5</v>
      </c>
      <c r="T51" t="inlineStr">
        <is>
          <t>Above</t>
        </is>
      </c>
      <c r="U51" t="inlineStr">
        <is>
          <t>Below</t>
        </is>
      </c>
      <c r="V51" t="inlineStr">
        <is>
          <t>Automatically confirmed</t>
        </is>
      </c>
    </row>
    <row r="52">
      <c r="A52" t="n">
        <v>43</v>
      </c>
      <c r="B52">
        <f>HYPERLINK("https://imapinvasives.natureserve.org/imap/services/page/Presence/1165071.html", "View")</f>
        <v/>
      </c>
      <c r="C52" t="n">
        <v>1165071</v>
      </c>
      <c r="D52" t="n">
        <v>1172330</v>
      </c>
      <c r="E52">
        <f>HYPERLINK("http://imap3images.s3-website-us-east-1.amazonaws.com/1172330/p/20210608_104052.jpg", "View")</f>
        <v/>
      </c>
      <c r="F52" t="inlineStr">
        <is>
          <t>Artemisia vulgaris</t>
        </is>
      </c>
      <c r="G52" t="inlineStr">
        <is>
          <t>Common Wormwood</t>
        </is>
      </c>
      <c r="H52" t="n">
        <v>52856</v>
      </c>
      <c r="I52">
        <f>HYPERLINK("https://www.inaturalist.org/taxa/52856-Artemisia-vulgaris", "View")</f>
        <v/>
      </c>
      <c r="J52" t="inlineStr">
        <is>
          <t>Artemisia vulgaris</t>
        </is>
      </c>
      <c r="K52" t="inlineStr">
        <is>
          <t>Common mugwort</t>
        </is>
      </c>
      <c r="L52" t="n">
        <v>52856</v>
      </c>
      <c r="M52" t="n">
        <v>32.46</v>
      </c>
      <c r="N52" t="n">
        <v>92.04000000000001</v>
      </c>
      <c r="O52" t="n">
        <v>1</v>
      </c>
      <c r="P52" t="inlineStr">
        <is>
          <t>Match</t>
        </is>
      </c>
      <c r="Q52" t="inlineStr">
        <is>
          <t>4</t>
        </is>
      </c>
      <c r="R52" t="n">
        <v>77.62</v>
      </c>
      <c r="S52" t="n">
        <v>36.5</v>
      </c>
      <c r="T52" t="inlineStr">
        <is>
          <t>Above</t>
        </is>
      </c>
      <c r="U52" t="inlineStr">
        <is>
          <t>Below</t>
        </is>
      </c>
      <c r="V52" t="inlineStr">
        <is>
          <t>Automatically confirmed</t>
        </is>
      </c>
    </row>
    <row r="53">
      <c r="A53" t="n">
        <v>44</v>
      </c>
      <c r="B53">
        <f>HYPERLINK("https://imapinvasives.natureserve.org/imap/services/page/Presence/1248256.html", "View")</f>
        <v/>
      </c>
      <c r="C53" t="n">
        <v>1248256</v>
      </c>
      <c r="D53" t="n">
        <v>1256368</v>
      </c>
      <c r="E53">
        <f>HYPERLINK("http://imap3images.s3-website-us-east-1.amazonaws.com/1256368/p/IMG_20200716_155501.jpg", "View")</f>
        <v/>
      </c>
      <c r="F53" t="inlineStr">
        <is>
          <t>Artemisia vulgaris</t>
        </is>
      </c>
      <c r="G53" t="inlineStr">
        <is>
          <t>Common Wormwood</t>
        </is>
      </c>
      <c r="H53" t="n">
        <v>52856</v>
      </c>
      <c r="I53">
        <f>HYPERLINK("https://www.inaturalist.org/taxa/52856-Artemisia-vulgaris", "View")</f>
        <v/>
      </c>
      <c r="J53" t="inlineStr">
        <is>
          <t>Artemisia vulgaris</t>
        </is>
      </c>
      <c r="K53" t="inlineStr">
        <is>
          <t>Common mugwort</t>
        </is>
      </c>
      <c r="L53" t="n">
        <v>52856</v>
      </c>
      <c r="M53" t="n">
        <v>19.22</v>
      </c>
      <c r="N53" t="n">
        <v>56.97</v>
      </c>
      <c r="O53" t="n">
        <v>1</v>
      </c>
      <c r="P53" t="inlineStr">
        <is>
          <t>Match</t>
        </is>
      </c>
      <c r="Q53" t="inlineStr">
        <is>
          <t>4</t>
        </is>
      </c>
      <c r="R53" t="n">
        <v>77.62</v>
      </c>
      <c r="S53" t="n">
        <v>36.5</v>
      </c>
      <c r="T53" t="inlineStr">
        <is>
          <t>Below</t>
        </is>
      </c>
      <c r="U53" t="inlineStr">
        <is>
          <t>Below</t>
        </is>
      </c>
      <c r="V53" t="inlineStr">
        <is>
          <t>Manual review</t>
        </is>
      </c>
    </row>
    <row r="54">
      <c r="A54" t="n">
        <v>45</v>
      </c>
      <c r="B54">
        <f>HYPERLINK("https://imapinvasives.natureserve.org/imap/services/page/Presence/1271707.html", "View")</f>
        <v/>
      </c>
      <c r="C54" t="n">
        <v>1271707</v>
      </c>
      <c r="D54" t="n">
        <v>1280682</v>
      </c>
      <c r="E54">
        <f>HYPERLINK("http://imap3images.s3-website-us-east-1.amazonaws.com/1280682/p/Photo2-20220510-144507.jpg", "View")</f>
        <v/>
      </c>
      <c r="F54" t="inlineStr">
        <is>
          <t>Alliaria petiolata</t>
        </is>
      </c>
      <c r="G54" t="inlineStr">
        <is>
          <t>Garlic Mustard</t>
        </is>
      </c>
      <c r="H54" t="n">
        <v>56061</v>
      </c>
      <c r="I54">
        <f>HYPERLINK("https://www.inaturalist.org/taxa/56061-Alliaria-petiolata", "View")</f>
        <v/>
      </c>
      <c r="J54" t="inlineStr">
        <is>
          <t>Alliaria petiolata</t>
        </is>
      </c>
      <c r="K54" t="inlineStr">
        <is>
          <t>Garlic mustard</t>
        </is>
      </c>
      <c r="L54" t="n">
        <v>56061</v>
      </c>
      <c r="M54" t="n">
        <v>96.88</v>
      </c>
      <c r="N54" t="n">
        <v>99.33</v>
      </c>
      <c r="O54" t="n">
        <v>1</v>
      </c>
      <c r="P54" t="inlineStr">
        <is>
          <t>Match</t>
        </is>
      </c>
      <c r="Q54" t="inlineStr">
        <is>
          <t>4</t>
        </is>
      </c>
      <c r="R54" t="n">
        <v>88.91</v>
      </c>
      <c r="S54" t="n">
        <v>39.89</v>
      </c>
      <c r="T54" t="inlineStr">
        <is>
          <t>Above</t>
        </is>
      </c>
      <c r="U54" t="inlineStr">
        <is>
          <t>Above</t>
        </is>
      </c>
      <c r="V54" t="inlineStr">
        <is>
          <t>Automatically confirmed</t>
        </is>
      </c>
    </row>
    <row r="55">
      <c r="A55" t="n">
        <v>45</v>
      </c>
      <c r="B55">
        <f>HYPERLINK("https://imapinvasives.natureserve.org/imap/services/page/Presence/1271707.html", "View")</f>
        <v/>
      </c>
      <c r="C55" t="n">
        <v>1271707</v>
      </c>
      <c r="D55" t="n">
        <v>1280681</v>
      </c>
      <c r="E55">
        <f>HYPERLINK("http://imap3images.s3-website-us-east-1.amazonaws.com/1280681/p/Photo2-20220510-145456.jpg", "View")</f>
        <v/>
      </c>
      <c r="F55" t="inlineStr">
        <is>
          <t>Artemisia vulgaris</t>
        </is>
      </c>
      <c r="G55" t="inlineStr">
        <is>
          <t>Common Wormwood</t>
        </is>
      </c>
      <c r="H55" t="n">
        <v>52856</v>
      </c>
      <c r="I55">
        <f>HYPERLINK("https://www.inaturalist.org/taxa/52856-Artemisia-vulgaris", "View")</f>
        <v/>
      </c>
      <c r="J55" t="inlineStr">
        <is>
          <t>Artemisia vulgaris</t>
        </is>
      </c>
      <c r="K55" t="inlineStr">
        <is>
          <t>Common mugwort</t>
        </is>
      </c>
      <c r="L55" t="n">
        <v>52856</v>
      </c>
      <c r="M55" t="n">
        <v>97.59</v>
      </c>
      <c r="N55" t="n">
        <v>52.32</v>
      </c>
      <c r="O55" t="n">
        <v>1</v>
      </c>
      <c r="P55" t="inlineStr">
        <is>
          <t>Match</t>
        </is>
      </c>
      <c r="Q55" t="inlineStr">
        <is>
          <t>4</t>
        </is>
      </c>
      <c r="R55" t="n">
        <v>77.62</v>
      </c>
      <c r="S55" t="n">
        <v>36.5</v>
      </c>
      <c r="T55" t="inlineStr">
        <is>
          <t>Below</t>
        </is>
      </c>
      <c r="U55" t="inlineStr">
        <is>
          <t>Above</t>
        </is>
      </c>
      <c r="V55" t="inlineStr">
        <is>
          <t>Manual review</t>
        </is>
      </c>
    </row>
    <row r="56">
      <c r="A56" t="n">
        <v>45</v>
      </c>
      <c r="B56">
        <f>HYPERLINK("https://imapinvasives.natureserve.org/imap/services/page/Presence/1271707.html", "View")</f>
        <v/>
      </c>
      <c r="C56" t="n">
        <v>1271707</v>
      </c>
      <c r="D56" t="n">
        <v>1280683</v>
      </c>
      <c r="E56">
        <f>HYPERLINK("http://imap3images.s3-website-us-east-1.amazonaws.com/1280683/p/Photo1-20220510-144117.jpg", "View")</f>
        <v/>
      </c>
      <c r="F56" t="inlineStr">
        <is>
          <t>Reynoutria japonica var. japonica</t>
        </is>
      </c>
      <c r="G56" t="inlineStr">
        <is>
          <t>Japanese Knotweed</t>
        </is>
      </c>
      <c r="H56" t="n">
        <v>914922</v>
      </c>
      <c r="I56">
        <f>HYPERLINK("https://www.inaturalist.org/taxa/593040-Reynoutria-sachalinensis", "View")</f>
        <v/>
      </c>
      <c r="J56" t="inlineStr">
        <is>
          <t>Reynoutria sachalinensis</t>
        </is>
      </c>
      <c r="K56" t="inlineStr">
        <is>
          <t>Giant knotweed</t>
        </is>
      </c>
      <c r="L56" t="n">
        <v>593040</v>
      </c>
      <c r="M56" t="n">
        <v>15.85</v>
      </c>
      <c r="N56" t="n">
        <v>63.3</v>
      </c>
      <c r="O56" t="n">
        <v>0</v>
      </c>
      <c r="P56" t="inlineStr">
        <is>
          <t>Unmatch</t>
        </is>
      </c>
      <c r="Q56" t="inlineStr">
        <is>
          <t>nan</t>
        </is>
      </c>
      <c r="R56" t="n">
        <v>77.62</v>
      </c>
      <c r="S56" t="n">
        <v>36.5</v>
      </c>
      <c r="T56" t="inlineStr">
        <is>
          <t>Below</t>
        </is>
      </c>
      <c r="U56" t="inlineStr">
        <is>
          <t>Below</t>
        </is>
      </c>
      <c r="V56" t="inlineStr">
        <is>
          <t>Manual review</t>
        </is>
      </c>
    </row>
    <row r="57">
      <c r="A57" t="n">
        <v>46</v>
      </c>
      <c r="B57">
        <f>HYPERLINK("https://imapinvasives.natureserve.org/imap/services/page/Presence/1271710.html", "View")</f>
        <v/>
      </c>
      <c r="C57" t="n">
        <v>1271710</v>
      </c>
      <c r="D57" t="n">
        <v>1280686</v>
      </c>
      <c r="E57">
        <f>HYPERLINK("http://imap3images.s3-website-us-east-1.amazonaws.com/1280686/p/Photo2-20220510-153046.jpg", "View")</f>
        <v/>
      </c>
      <c r="F57" t="inlineStr">
        <is>
          <t>Alliaria petiolata</t>
        </is>
      </c>
      <c r="G57" t="inlineStr">
        <is>
          <t>Garlic Mustard</t>
        </is>
      </c>
      <c r="H57" t="n">
        <v>56061</v>
      </c>
      <c r="I57">
        <f>HYPERLINK("https://www.inaturalist.org/taxa/56061-Alliaria-petiolata", "View")</f>
        <v/>
      </c>
      <c r="J57" t="inlineStr">
        <is>
          <t>Alliaria petiolata</t>
        </is>
      </c>
      <c r="K57" t="inlineStr">
        <is>
          <t>Garlic mustard</t>
        </is>
      </c>
      <c r="L57" t="n">
        <v>56061</v>
      </c>
      <c r="M57" t="n">
        <v>96.88</v>
      </c>
      <c r="N57" t="n">
        <v>98.39</v>
      </c>
      <c r="O57" t="n">
        <v>1</v>
      </c>
      <c r="P57" t="inlineStr">
        <is>
          <t>Match</t>
        </is>
      </c>
      <c r="Q57" t="inlineStr">
        <is>
          <t>4</t>
        </is>
      </c>
      <c r="R57" t="n">
        <v>88.91</v>
      </c>
      <c r="S57" t="n">
        <v>39.89</v>
      </c>
      <c r="T57" t="inlineStr">
        <is>
          <t>Above</t>
        </is>
      </c>
      <c r="U57" t="inlineStr">
        <is>
          <t>Above</t>
        </is>
      </c>
      <c r="V57" t="inlineStr">
        <is>
          <t>Automatically confirmed</t>
        </is>
      </c>
    </row>
    <row r="58">
      <c r="A58" t="n">
        <v>46</v>
      </c>
      <c r="B58">
        <f>HYPERLINK("https://imapinvasives.natureserve.org/imap/services/page/Presence/1271710.html", "View")</f>
        <v/>
      </c>
      <c r="C58" t="n">
        <v>1271710</v>
      </c>
      <c r="D58" t="n">
        <v>1280687</v>
      </c>
      <c r="E58">
        <f>HYPERLINK("http://imap3images.s3-website-us-east-1.amazonaws.com/1280687/p/Photo2-20220510-152958.jpg", "View")</f>
        <v/>
      </c>
      <c r="F58" t="inlineStr">
        <is>
          <t>Artemisia vulgaris</t>
        </is>
      </c>
      <c r="G58" t="inlineStr">
        <is>
          <t>Common Wormwood</t>
        </is>
      </c>
      <c r="H58" t="n">
        <v>52856</v>
      </c>
      <c r="I58">
        <f>HYPERLINK("https://www.inaturalist.org/taxa/52856-Artemisia-vulgaris", "View")</f>
        <v/>
      </c>
      <c r="J58" t="inlineStr">
        <is>
          <t>Artemisia vulgaris</t>
        </is>
      </c>
      <c r="K58" t="inlineStr">
        <is>
          <t>Common mugwort</t>
        </is>
      </c>
      <c r="L58" t="n">
        <v>52856</v>
      </c>
      <c r="M58" t="n">
        <v>97.59</v>
      </c>
      <c r="N58" t="n">
        <v>61.23</v>
      </c>
      <c r="O58" t="n">
        <v>1</v>
      </c>
      <c r="P58" t="inlineStr">
        <is>
          <t>Match</t>
        </is>
      </c>
      <c r="Q58" t="inlineStr">
        <is>
          <t>4</t>
        </is>
      </c>
      <c r="R58" t="n">
        <v>77.62</v>
      </c>
      <c r="S58" t="n">
        <v>36.5</v>
      </c>
      <c r="T58" t="inlineStr">
        <is>
          <t>Below</t>
        </is>
      </c>
      <c r="U58" t="inlineStr">
        <is>
          <t>Above</t>
        </is>
      </c>
      <c r="V58" t="inlineStr">
        <is>
          <t>Manual review</t>
        </is>
      </c>
    </row>
    <row r="59">
      <c r="A59" t="n">
        <v>47</v>
      </c>
      <c r="B59">
        <f>HYPERLINK("https://imapinvasives.natureserve.org/imap/services/page/Presence/1272390.html", "View")</f>
        <v/>
      </c>
      <c r="C59" t="n">
        <v>1272390</v>
      </c>
      <c r="D59" t="n">
        <v>1281421</v>
      </c>
      <c r="E59">
        <f>HYPERLINK("http://imap3images.s3-website-us-east-1.amazonaws.com/1281421/p/Photo1-20220520-161154.jpg", "View")</f>
        <v/>
      </c>
      <c r="F59" t="inlineStr">
        <is>
          <t>Artemisia vulgaris</t>
        </is>
      </c>
      <c r="G59" t="inlineStr">
        <is>
          <t>Common Wormwood</t>
        </is>
      </c>
      <c r="H59" t="n">
        <v>52856</v>
      </c>
      <c r="I59">
        <f>HYPERLINK("https://www.inaturalist.org/taxa/52856-Artemisia-vulgaris", "View")</f>
        <v/>
      </c>
      <c r="J59" t="inlineStr">
        <is>
          <t>Artemisia vulgaris</t>
        </is>
      </c>
      <c r="K59" t="inlineStr">
        <is>
          <t>Common mugwort</t>
        </is>
      </c>
      <c r="L59" t="n">
        <v>52856</v>
      </c>
      <c r="M59" t="n">
        <v>97.59</v>
      </c>
      <c r="N59" t="n">
        <v>84.94</v>
      </c>
      <c r="O59" t="n">
        <v>1</v>
      </c>
      <c r="P59" t="inlineStr">
        <is>
          <t>Match</t>
        </is>
      </c>
      <c r="Q59" t="inlineStr">
        <is>
          <t>4</t>
        </is>
      </c>
      <c r="R59" t="n">
        <v>77.62</v>
      </c>
      <c r="S59" t="n">
        <v>36.5</v>
      </c>
      <c r="T59" t="inlineStr">
        <is>
          <t>Above</t>
        </is>
      </c>
      <c r="U59" t="inlineStr">
        <is>
          <t>Above</t>
        </is>
      </c>
      <c r="V59" t="inlineStr">
        <is>
          <t>Automatically confirmed</t>
        </is>
      </c>
    </row>
    <row r="60">
      <c r="A60" t="n">
        <v>48</v>
      </c>
      <c r="B60">
        <f>HYPERLINK("https://imapinvasives.natureserve.org/imap/services/page/Presence/1272676.html", "View")</f>
        <v/>
      </c>
      <c r="C60" t="n">
        <v>1272676</v>
      </c>
      <c r="D60" t="n">
        <v>1281728</v>
      </c>
      <c r="E60">
        <f>HYPERLINK("http://imap3images.s3-website-us-east-1.amazonaws.com/1281728/p/Photo2-20220524-141408.jpg", "View")</f>
        <v/>
      </c>
      <c r="F60" t="inlineStr">
        <is>
          <t>Alliaria petiolata</t>
        </is>
      </c>
      <c r="G60" t="inlineStr">
        <is>
          <t>Garlic Mustard</t>
        </is>
      </c>
      <c r="H60" t="n">
        <v>56061</v>
      </c>
      <c r="I60">
        <f>HYPERLINK("https://www.inaturalist.org/taxa/56061-Alliaria-petiolata", "View")</f>
        <v/>
      </c>
      <c r="J60" t="inlineStr">
        <is>
          <t>Alliaria petiolata</t>
        </is>
      </c>
      <c r="K60" t="inlineStr">
        <is>
          <t>Garlic mustard</t>
        </is>
      </c>
      <c r="L60" t="n">
        <v>56061</v>
      </c>
      <c r="M60" t="n">
        <v>96.88</v>
      </c>
      <c r="N60" t="n">
        <v>99.47</v>
      </c>
      <c r="O60" t="n">
        <v>1</v>
      </c>
      <c r="P60" t="inlineStr">
        <is>
          <t>Match</t>
        </is>
      </c>
      <c r="Q60" t="inlineStr">
        <is>
          <t>4</t>
        </is>
      </c>
      <c r="R60" t="n">
        <v>88.91</v>
      </c>
      <c r="S60" t="n">
        <v>39.89</v>
      </c>
      <c r="T60" t="inlineStr">
        <is>
          <t>Above</t>
        </is>
      </c>
      <c r="U60" t="inlineStr">
        <is>
          <t>Above</t>
        </is>
      </c>
      <c r="V60" t="inlineStr">
        <is>
          <t>Automatically confirmed</t>
        </is>
      </c>
    </row>
    <row r="61">
      <c r="A61" t="n">
        <v>48</v>
      </c>
      <c r="B61">
        <f>HYPERLINK("https://imapinvasives.natureserve.org/imap/services/page/Presence/1272676.html", "View")</f>
        <v/>
      </c>
      <c r="C61" t="n">
        <v>1272676</v>
      </c>
      <c r="D61" t="n">
        <v>1281732</v>
      </c>
      <c r="E61">
        <f>HYPERLINK("http://imap3images.s3-website-us-east-1.amazonaws.com/1281732/p/Photo2-20220524-141606.jpg", "View")</f>
        <v/>
      </c>
      <c r="F61" t="inlineStr">
        <is>
          <t>Hedera helix</t>
        </is>
      </c>
      <c r="G61" t="inlineStr">
        <is>
          <t>English Ivy</t>
        </is>
      </c>
      <c r="H61" t="n">
        <v>55882</v>
      </c>
      <c r="I61">
        <f>HYPERLINK("https://www.inaturalist.org/taxa/55882-Hedera-helix", "View")</f>
        <v/>
      </c>
      <c r="J61" t="inlineStr">
        <is>
          <t>Hedera helix</t>
        </is>
      </c>
      <c r="K61" t="inlineStr">
        <is>
          <t>Common ivy</t>
        </is>
      </c>
      <c r="L61" t="n">
        <v>55882</v>
      </c>
      <c r="M61" t="n">
        <v>81.78</v>
      </c>
      <c r="N61" t="n">
        <v>86.31999999999999</v>
      </c>
      <c r="O61" t="n">
        <v>1</v>
      </c>
      <c r="P61" t="inlineStr">
        <is>
          <t>Match</t>
        </is>
      </c>
      <c r="Q61" t="inlineStr">
        <is>
          <t>nan</t>
        </is>
      </c>
      <c r="R61" t="n">
        <v>77.62</v>
      </c>
      <c r="S61" t="n">
        <v>36.5</v>
      </c>
      <c r="T61" t="inlineStr">
        <is>
          <t>Above</t>
        </is>
      </c>
      <c r="U61" t="inlineStr">
        <is>
          <t>Above</t>
        </is>
      </c>
      <c r="V61" t="inlineStr">
        <is>
          <t>Automatically confirmed</t>
        </is>
      </c>
    </row>
    <row r="62">
      <c r="A62" t="n">
        <v>48</v>
      </c>
      <c r="B62">
        <f>HYPERLINK("https://imapinvasives.natureserve.org/imap/services/page/Presence/1272676.html", "View")</f>
        <v/>
      </c>
      <c r="C62" t="n">
        <v>1272676</v>
      </c>
      <c r="D62" t="n">
        <v>1281734</v>
      </c>
      <c r="E62">
        <f>HYPERLINK("http://imap3images.s3-website-us-east-1.amazonaws.com/1281734/p/Photo2-20220524-141844.jpg", "View")</f>
        <v/>
      </c>
      <c r="F62" t="inlineStr">
        <is>
          <t>Ampelopsis brevipedunculata</t>
        </is>
      </c>
      <c r="G62" t="inlineStr">
        <is>
          <t>Amur Peppervine</t>
        </is>
      </c>
      <c r="H62" t="n">
        <v>457553</v>
      </c>
      <c r="I62">
        <f>HYPERLINK("https://www.inaturalist.org/taxa/204237-Ampelopsis-glandulosa", "View")</f>
        <v/>
      </c>
      <c r="J62" t="inlineStr">
        <is>
          <t>Ampelopsis glandulosa</t>
        </is>
      </c>
      <c r="K62" t="inlineStr">
        <is>
          <t>Porcelain berry</t>
        </is>
      </c>
      <c r="L62" t="n">
        <v>204237</v>
      </c>
      <c r="M62" t="n">
        <v>87.37</v>
      </c>
      <c r="N62" t="n">
        <v>99.13</v>
      </c>
      <c r="O62" t="n">
        <v>0</v>
      </c>
      <c r="P62" t="inlineStr">
        <is>
          <t>Unmatch</t>
        </is>
      </c>
      <c r="Q62" t="inlineStr">
        <is>
          <t>nan</t>
        </is>
      </c>
      <c r="R62" t="n">
        <v>77.62</v>
      </c>
      <c r="S62" t="n">
        <v>36.5</v>
      </c>
      <c r="T62" t="inlineStr">
        <is>
          <t>Above</t>
        </is>
      </c>
      <c r="U62" t="inlineStr">
        <is>
          <t>Above</t>
        </is>
      </c>
      <c r="V62" t="inlineStr">
        <is>
          <t>Manual review</t>
        </is>
      </c>
    </row>
    <row r="63">
      <c r="A63" t="n">
        <v>48</v>
      </c>
      <c r="B63">
        <f>HYPERLINK("https://imapinvasives.natureserve.org/imap/services/page/Presence/1272676.html", "View")</f>
        <v/>
      </c>
      <c r="C63" t="n">
        <v>1272676</v>
      </c>
      <c r="D63" t="n">
        <v>1281729</v>
      </c>
      <c r="E63">
        <f>HYPERLINK("http://imap3images.s3-website-us-east-1.amazonaws.com/1281729/p/Photo2-20220524-141319.jpg", "View")</f>
        <v/>
      </c>
      <c r="F63" t="inlineStr">
        <is>
          <t>Artemisia vulgaris</t>
        </is>
      </c>
      <c r="G63" t="inlineStr">
        <is>
          <t>Common Wormwood</t>
        </is>
      </c>
      <c r="H63" t="n">
        <v>52856</v>
      </c>
      <c r="I63">
        <f>HYPERLINK("https://www.inaturalist.org/taxa/52856-Artemisia-vulgaris", "View")</f>
        <v/>
      </c>
      <c r="J63" t="inlineStr">
        <is>
          <t>Artemisia vulgaris</t>
        </is>
      </c>
      <c r="K63" t="inlineStr">
        <is>
          <t>Common mugwort</t>
        </is>
      </c>
      <c r="L63" t="n">
        <v>52856</v>
      </c>
      <c r="M63" t="n">
        <v>97.59</v>
      </c>
      <c r="N63" t="n">
        <v>91.23999999999999</v>
      </c>
      <c r="O63" t="n">
        <v>1</v>
      </c>
      <c r="P63" t="inlineStr">
        <is>
          <t>Match</t>
        </is>
      </c>
      <c r="Q63" t="inlineStr">
        <is>
          <t>4</t>
        </is>
      </c>
      <c r="R63" t="n">
        <v>77.62</v>
      </c>
      <c r="S63" t="n">
        <v>36.5</v>
      </c>
      <c r="T63" t="inlineStr">
        <is>
          <t>Above</t>
        </is>
      </c>
      <c r="U63" t="inlineStr">
        <is>
          <t>Above</t>
        </is>
      </c>
      <c r="V63" t="inlineStr">
        <is>
          <t>Automatically confirmed</t>
        </is>
      </c>
    </row>
    <row r="64">
      <c r="A64" t="n">
        <v>48</v>
      </c>
      <c r="B64">
        <f>HYPERLINK("https://imapinvasives.natureserve.org/imap/services/page/Presence/1272676.html", "View")</f>
        <v/>
      </c>
      <c r="C64" t="n">
        <v>1272676</v>
      </c>
      <c r="D64" t="n">
        <v>1281736</v>
      </c>
      <c r="E64">
        <f>HYPERLINK("http://imap3images.s3-website-us-east-1.amazonaws.com/1281736/p/Photo2-20220524-141241.jpg", "View")</f>
        <v/>
      </c>
      <c r="F64" t="inlineStr">
        <is>
          <t>Elaeagnus umbellata</t>
        </is>
      </c>
      <c r="G64" t="inlineStr">
        <is>
          <t>Autumn-olive</t>
        </is>
      </c>
      <c r="H64" t="n">
        <v>64697</v>
      </c>
      <c r="I64">
        <f>HYPERLINK("https://www.inaturalist.org/taxa/64697-Elaeagnus-umbellata", "View")</f>
        <v/>
      </c>
      <c r="J64" t="inlineStr">
        <is>
          <t>Elaeagnus umbellata</t>
        </is>
      </c>
      <c r="K64" t="inlineStr">
        <is>
          <t>Autumn olive</t>
        </is>
      </c>
      <c r="L64" t="n">
        <v>64697</v>
      </c>
      <c r="M64" t="n">
        <v>91.93000000000001</v>
      </c>
      <c r="N64" t="n">
        <v>94.04000000000001</v>
      </c>
      <c r="O64" t="n">
        <v>1</v>
      </c>
      <c r="P64" t="inlineStr">
        <is>
          <t>Match</t>
        </is>
      </c>
      <c r="Q64" t="inlineStr">
        <is>
          <t>4</t>
        </is>
      </c>
      <c r="R64" t="n">
        <v>77.62</v>
      </c>
      <c r="S64" t="n">
        <v>36.5</v>
      </c>
      <c r="T64" t="inlineStr">
        <is>
          <t>Above</t>
        </is>
      </c>
      <c r="U64" t="inlineStr">
        <is>
          <t>Above</t>
        </is>
      </c>
      <c r="V64" t="inlineStr">
        <is>
          <t>Automatically confirmed</t>
        </is>
      </c>
    </row>
    <row r="65">
      <c r="A65" t="n">
        <v>48</v>
      </c>
      <c r="B65">
        <f>HYPERLINK("https://imapinvasives.natureserve.org/imap/services/page/Presence/1272676.html", "View")</f>
        <v/>
      </c>
      <c r="C65" t="n">
        <v>1272676</v>
      </c>
      <c r="D65" t="n">
        <v>1281733</v>
      </c>
      <c r="E65">
        <f>HYPERLINK("http://imap3images.s3-website-us-east-1.amazonaws.com/1281733/p/Photo2-20220524-141144.jpg", "View")</f>
        <v/>
      </c>
      <c r="F65" t="inlineStr">
        <is>
          <t>Reynoutria japonica var. japonica</t>
        </is>
      </c>
      <c r="G65" t="inlineStr">
        <is>
          <t>Japanese Knotweed</t>
        </is>
      </c>
      <c r="H65" t="n">
        <v>914922</v>
      </c>
      <c r="I65">
        <f>HYPERLINK("https://www.inaturalist.org/taxa/914922-Reynoutria-japonica", "View")</f>
        <v/>
      </c>
      <c r="J65" t="inlineStr">
        <is>
          <t>Reynoutria japonica</t>
        </is>
      </c>
      <c r="K65" t="inlineStr">
        <is>
          <t>Japanese knotweed</t>
        </is>
      </c>
      <c r="L65" t="n">
        <v>914922</v>
      </c>
      <c r="M65" t="n">
        <v>87.31</v>
      </c>
      <c r="N65" t="n">
        <v>99.09</v>
      </c>
      <c r="O65" t="n">
        <v>1</v>
      </c>
      <c r="P65" t="inlineStr">
        <is>
          <t>Match</t>
        </is>
      </c>
      <c r="Q65" t="inlineStr">
        <is>
          <t>nan</t>
        </is>
      </c>
      <c r="R65" t="n">
        <v>77.62</v>
      </c>
      <c r="S65" t="n">
        <v>36.5</v>
      </c>
      <c r="T65" t="inlineStr">
        <is>
          <t>Above</t>
        </is>
      </c>
      <c r="U65" t="inlineStr">
        <is>
          <t>Above</t>
        </is>
      </c>
      <c r="V65" t="inlineStr">
        <is>
          <t>Automatically confirmed</t>
        </is>
      </c>
    </row>
    <row r="66">
      <c r="A66" t="n">
        <v>48</v>
      </c>
      <c r="B66">
        <f>HYPERLINK("https://imapinvasives.natureserve.org/imap/services/page/Presence/1272676.html", "View")</f>
        <v/>
      </c>
      <c r="C66" t="n">
        <v>1272676</v>
      </c>
      <c r="D66" t="n">
        <v>1281735</v>
      </c>
      <c r="E66">
        <f>HYPERLINK("http://imap3images.s3-website-us-east-1.amazonaws.com/1281735/p/Photo2-20220524-141652.jpg", "View")</f>
        <v/>
      </c>
      <c r="F66" t="inlineStr">
        <is>
          <t>Rubus phoenicolasius</t>
        </is>
      </c>
      <c r="G66" t="inlineStr">
        <is>
          <t>Wineberry</t>
        </is>
      </c>
      <c r="H66" t="n">
        <v>84227</v>
      </c>
      <c r="I66">
        <f>HYPERLINK("https://www.inaturalist.org/taxa/84227-Rubus-phoenicolasius", "View")</f>
        <v/>
      </c>
      <c r="J66" t="inlineStr">
        <is>
          <t>Rubus phoenicolasius</t>
        </is>
      </c>
      <c r="K66" t="inlineStr">
        <is>
          <t>Wineberry</t>
        </is>
      </c>
      <c r="L66" t="n">
        <v>84227</v>
      </c>
      <c r="M66" t="n">
        <v>95.59999999999999</v>
      </c>
      <c r="N66" t="n">
        <v>99.93000000000001</v>
      </c>
      <c r="O66" t="n">
        <v>1</v>
      </c>
      <c r="P66" t="inlineStr">
        <is>
          <t>Match</t>
        </is>
      </c>
      <c r="Q66" t="inlineStr">
        <is>
          <t>4</t>
        </is>
      </c>
      <c r="R66" t="n">
        <v>77.62</v>
      </c>
      <c r="S66" t="n">
        <v>36.5</v>
      </c>
      <c r="T66" t="inlineStr">
        <is>
          <t>Above</t>
        </is>
      </c>
      <c r="U66" t="inlineStr">
        <is>
          <t>Above</t>
        </is>
      </c>
      <c r="V66" t="inlineStr">
        <is>
          <t>Automatically confirmed</t>
        </is>
      </c>
    </row>
    <row r="67">
      <c r="A67" t="n">
        <v>49</v>
      </c>
      <c r="B67">
        <f>HYPERLINK("https://imapinvasives.natureserve.org/imap/services/page/Presence/1272681.html", "View")</f>
        <v/>
      </c>
      <c r="C67" t="n">
        <v>1272681</v>
      </c>
      <c r="D67" t="n">
        <v>1281741</v>
      </c>
      <c r="E67">
        <f>HYPERLINK("http://imap3images.s3-website-us-east-1.amazonaws.com/1281741/p/Photo1-20220524-141459.jpg", "View")</f>
        <v/>
      </c>
      <c r="F67" t="inlineStr">
        <is>
          <t>Hedera helix</t>
        </is>
      </c>
      <c r="G67" t="inlineStr">
        <is>
          <t>English Ivy</t>
        </is>
      </c>
      <c r="H67" t="n">
        <v>55882</v>
      </c>
      <c r="I67">
        <f>HYPERLINK("https://www.inaturalist.org/taxa/55882-Hedera-helix", "View")</f>
        <v/>
      </c>
      <c r="J67" t="inlineStr">
        <is>
          <t>Hedera helix</t>
        </is>
      </c>
      <c r="K67" t="inlineStr">
        <is>
          <t>Common ivy</t>
        </is>
      </c>
      <c r="L67" t="n">
        <v>55882</v>
      </c>
      <c r="M67" t="n">
        <v>81.78</v>
      </c>
      <c r="N67" t="n">
        <v>67.73999999999999</v>
      </c>
      <c r="O67" t="n">
        <v>1</v>
      </c>
      <c r="P67" t="inlineStr">
        <is>
          <t>Match</t>
        </is>
      </c>
      <c r="Q67" t="inlineStr">
        <is>
          <t>nan</t>
        </is>
      </c>
      <c r="R67" t="n">
        <v>77.62</v>
      </c>
      <c r="S67" t="n">
        <v>36.5</v>
      </c>
      <c r="T67" t="inlineStr">
        <is>
          <t>Below</t>
        </is>
      </c>
      <c r="U67" t="inlineStr">
        <is>
          <t>Above</t>
        </is>
      </c>
      <c r="V67" t="inlineStr">
        <is>
          <t>Manual review</t>
        </is>
      </c>
    </row>
    <row r="68">
      <c r="A68" t="n">
        <v>49</v>
      </c>
      <c r="B68">
        <f>HYPERLINK("https://imapinvasives.natureserve.org/imap/services/page/Presence/1272681.html", "View")</f>
        <v/>
      </c>
      <c r="C68" t="n">
        <v>1272681</v>
      </c>
      <c r="D68" t="n">
        <v>1281743</v>
      </c>
      <c r="E68">
        <f>HYPERLINK("http://imap3images.s3-website-us-east-1.amazonaws.com/1281743/p/Photo1-20220524-141846.jpg", "View")</f>
        <v/>
      </c>
      <c r="F68" t="inlineStr">
        <is>
          <t>Ampelopsis brevipedunculata</t>
        </is>
      </c>
      <c r="G68" t="inlineStr">
        <is>
          <t>Amur Peppervine</t>
        </is>
      </c>
      <c r="H68" t="n">
        <v>457553</v>
      </c>
      <c r="I68">
        <f>HYPERLINK("https://www.inaturalist.org/taxa/204237-Ampelopsis-glandulosa", "View")</f>
        <v/>
      </c>
      <c r="J68" t="inlineStr">
        <is>
          <t>Ampelopsis glandulosa</t>
        </is>
      </c>
      <c r="K68" t="inlineStr">
        <is>
          <t>Porcelain berry</t>
        </is>
      </c>
      <c r="L68" t="n">
        <v>204237</v>
      </c>
      <c r="M68" t="n">
        <v>87.37</v>
      </c>
      <c r="N68" t="n">
        <v>94.72</v>
      </c>
      <c r="O68" t="n">
        <v>0</v>
      </c>
      <c r="P68" t="inlineStr">
        <is>
          <t>Unmatch</t>
        </is>
      </c>
      <c r="Q68" t="inlineStr">
        <is>
          <t>nan</t>
        </is>
      </c>
      <c r="R68" t="n">
        <v>77.62</v>
      </c>
      <c r="S68" t="n">
        <v>36.5</v>
      </c>
      <c r="T68" t="inlineStr">
        <is>
          <t>Above</t>
        </is>
      </c>
      <c r="U68" t="inlineStr">
        <is>
          <t>Above</t>
        </is>
      </c>
      <c r="V68" t="inlineStr">
        <is>
          <t>Manual review</t>
        </is>
      </c>
    </row>
    <row r="69">
      <c r="A69" t="n">
        <v>49</v>
      </c>
      <c r="B69">
        <f>HYPERLINK("https://imapinvasives.natureserve.org/imap/services/page/Presence/1272681.html", "View")</f>
        <v/>
      </c>
      <c r="C69" t="n">
        <v>1272681</v>
      </c>
      <c r="D69" t="n">
        <v>1281742</v>
      </c>
      <c r="E69">
        <f>HYPERLINK("http://imap3images.s3-website-us-east-1.amazonaws.com/1281742/p/Photo1-20220524-141202.jpg", "View")</f>
        <v/>
      </c>
      <c r="F69" t="inlineStr">
        <is>
          <t>Artemisia vulgaris</t>
        </is>
      </c>
      <c r="G69" t="inlineStr">
        <is>
          <t>Common Wormwood</t>
        </is>
      </c>
      <c r="H69" t="n">
        <v>52856</v>
      </c>
      <c r="I69">
        <f>HYPERLINK("https://www.inaturalist.org/taxa/52856-Artemisia-vulgaris", "View")</f>
        <v/>
      </c>
      <c r="J69" t="inlineStr">
        <is>
          <t>Artemisia vulgaris</t>
        </is>
      </c>
      <c r="K69" t="inlineStr">
        <is>
          <t>Common mugwort</t>
        </is>
      </c>
      <c r="L69" t="n">
        <v>52856</v>
      </c>
      <c r="M69" t="n">
        <v>97.59</v>
      </c>
      <c r="N69" t="n">
        <v>71.65000000000001</v>
      </c>
      <c r="O69" t="n">
        <v>1</v>
      </c>
      <c r="P69" t="inlineStr">
        <is>
          <t>Match</t>
        </is>
      </c>
      <c r="Q69" t="inlineStr">
        <is>
          <t>4</t>
        </is>
      </c>
      <c r="R69" t="n">
        <v>77.62</v>
      </c>
      <c r="S69" t="n">
        <v>36.5</v>
      </c>
      <c r="T69" t="inlineStr">
        <is>
          <t>Below</t>
        </is>
      </c>
      <c r="U69" t="inlineStr">
        <is>
          <t>Above</t>
        </is>
      </c>
      <c r="V69" t="inlineStr">
        <is>
          <t>Manual review</t>
        </is>
      </c>
    </row>
    <row r="70">
      <c r="A70" t="n">
        <v>49</v>
      </c>
      <c r="B70">
        <f>HYPERLINK("https://imapinvasives.natureserve.org/imap/services/page/Presence/1272681.html", "View")</f>
        <v/>
      </c>
      <c r="C70" t="n">
        <v>1272681</v>
      </c>
      <c r="D70" t="n">
        <v>1281740</v>
      </c>
      <c r="E70" t="inlineStr">
        <is>
          <t>No Photo</t>
        </is>
      </c>
      <c r="F70" t="inlineStr">
        <is>
          <t>Elaeagnus umbellata</t>
        </is>
      </c>
      <c r="G70" t="inlineStr">
        <is>
          <t>Autumn-olive</t>
        </is>
      </c>
      <c r="H70" t="n">
        <v>64697</v>
      </c>
      <c r="I70" t="inlineStr">
        <is>
          <t>Unknown</t>
        </is>
      </c>
      <c r="J70" t="inlineStr">
        <is>
          <t>Unknown</t>
        </is>
      </c>
      <c r="K70" t="inlineStr">
        <is>
          <t>Unknown</t>
        </is>
      </c>
      <c r="L70" t="inlineStr">
        <is>
          <t>Unknown</t>
        </is>
      </c>
      <c r="M70" t="inlineStr">
        <is>
          <t>Unknown</t>
        </is>
      </c>
      <c r="N70" t="inlineStr">
        <is>
          <t>Unknown</t>
        </is>
      </c>
      <c r="O70" t="n">
        <v>0</v>
      </c>
      <c r="P70" t="inlineStr">
        <is>
          <t>Unmatch</t>
        </is>
      </c>
      <c r="Q70" t="inlineStr">
        <is>
          <t>4</t>
        </is>
      </c>
      <c r="R70" t="n">
        <v>77.62</v>
      </c>
      <c r="S70" t="n">
        <v>36.5</v>
      </c>
      <c r="T70" t="inlineStr">
        <is>
          <t>Below</t>
        </is>
      </c>
      <c r="U70" t="inlineStr">
        <is>
          <t>Below</t>
        </is>
      </c>
      <c r="V70" t="inlineStr">
        <is>
          <t>Manual review</t>
        </is>
      </c>
    </row>
    <row r="71">
      <c r="A71" t="n">
        <v>49</v>
      </c>
      <c r="B71">
        <f>HYPERLINK("https://imapinvasives.natureserve.org/imap/services/page/Presence/1272681.html", "View")</f>
        <v/>
      </c>
      <c r="C71" t="n">
        <v>1272681</v>
      </c>
      <c r="D71" t="n">
        <v>1281745</v>
      </c>
      <c r="E71">
        <f>HYPERLINK("http://imap3images.s3-website-us-east-1.amazonaws.com/1281745/p/Photo1-20220524-141306.jpg", "View")</f>
        <v/>
      </c>
      <c r="F71" t="inlineStr">
        <is>
          <t>Reynoutria japonica var. japonica</t>
        </is>
      </c>
      <c r="G71" t="inlineStr">
        <is>
          <t>Japanese Knotweed</t>
        </is>
      </c>
      <c r="H71" t="n">
        <v>914922</v>
      </c>
      <c r="I71">
        <f>HYPERLINK("https://www.inaturalist.org/taxa/914922-Reynoutria-japonica", "View")</f>
        <v/>
      </c>
      <c r="J71" t="inlineStr">
        <is>
          <t>Reynoutria japonica</t>
        </is>
      </c>
      <c r="K71" t="inlineStr">
        <is>
          <t>Japanese knotweed</t>
        </is>
      </c>
      <c r="L71" t="n">
        <v>914922</v>
      </c>
      <c r="M71" t="n">
        <v>87.31</v>
      </c>
      <c r="N71" t="n">
        <v>99.8</v>
      </c>
      <c r="O71" t="n">
        <v>1</v>
      </c>
      <c r="P71" t="inlineStr">
        <is>
          <t>Match</t>
        </is>
      </c>
      <c r="Q71" t="inlineStr">
        <is>
          <t>nan</t>
        </is>
      </c>
      <c r="R71" t="n">
        <v>77.62</v>
      </c>
      <c r="S71" t="n">
        <v>36.5</v>
      </c>
      <c r="T71" t="inlineStr">
        <is>
          <t>Above</t>
        </is>
      </c>
      <c r="U71" t="inlineStr">
        <is>
          <t>Above</t>
        </is>
      </c>
      <c r="V71" t="inlineStr">
        <is>
          <t>Automatically confirmed</t>
        </is>
      </c>
    </row>
    <row r="72">
      <c r="A72" t="n">
        <v>49</v>
      </c>
      <c r="B72">
        <f>HYPERLINK("https://imapinvasives.natureserve.org/imap/services/page/Presence/1272681.html", "View")</f>
        <v/>
      </c>
      <c r="C72" t="n">
        <v>1272681</v>
      </c>
      <c r="D72" t="n">
        <v>1281744</v>
      </c>
      <c r="E72">
        <f>HYPERLINK("http://imap3images.s3-website-us-east-1.amazonaws.com/1281744/p/Photo1-20220524-141736.jpg", "View")</f>
        <v/>
      </c>
      <c r="F72" t="inlineStr">
        <is>
          <t>Rubus phoenicolasius</t>
        </is>
      </c>
      <c r="G72" t="inlineStr">
        <is>
          <t>Wineberry</t>
        </is>
      </c>
      <c r="H72" t="n">
        <v>84227</v>
      </c>
      <c r="I72">
        <f>HYPERLINK("https://www.inaturalist.org/taxa/84227-Rubus-phoenicolasius", "View")</f>
        <v/>
      </c>
      <c r="J72" t="inlineStr">
        <is>
          <t>Rubus phoenicolasius</t>
        </is>
      </c>
      <c r="K72" t="inlineStr">
        <is>
          <t>Wineberry</t>
        </is>
      </c>
      <c r="L72" t="n">
        <v>84227</v>
      </c>
      <c r="M72" t="n">
        <v>95.59999999999999</v>
      </c>
      <c r="N72" t="n">
        <v>97.11</v>
      </c>
      <c r="O72" t="n">
        <v>1</v>
      </c>
      <c r="P72" t="inlineStr">
        <is>
          <t>Match</t>
        </is>
      </c>
      <c r="Q72" t="inlineStr">
        <is>
          <t>4</t>
        </is>
      </c>
      <c r="R72" t="n">
        <v>77.62</v>
      </c>
      <c r="S72" t="n">
        <v>36.5</v>
      </c>
      <c r="T72" t="inlineStr">
        <is>
          <t>Above</t>
        </is>
      </c>
      <c r="U72" t="inlineStr">
        <is>
          <t>Above</t>
        </is>
      </c>
      <c r="V72" t="inlineStr">
        <is>
          <t>Automatically confirmed</t>
        </is>
      </c>
    </row>
    <row r="73">
      <c r="A73" t="n">
        <v>50</v>
      </c>
      <c r="B73">
        <f>HYPERLINK("https://imapinvasives.natureserve.org/imap/services/page/Presence/1273444.html", "View")</f>
        <v/>
      </c>
      <c r="C73" t="n">
        <v>1273444</v>
      </c>
      <c r="D73" t="n">
        <v>1282603</v>
      </c>
      <c r="E73">
        <f>HYPERLINK("http://imap3images.s3-website-us-east-1.amazonaws.com/1282603/p/Photo2-20220601-143000.jpg", "View")</f>
        <v/>
      </c>
      <c r="F73" t="inlineStr">
        <is>
          <t>Alliaria petiolata</t>
        </is>
      </c>
      <c r="G73" t="inlineStr">
        <is>
          <t>Garlic Mustard</t>
        </is>
      </c>
      <c r="H73" t="n">
        <v>56061</v>
      </c>
      <c r="I73">
        <f>HYPERLINK("https://www.inaturalist.org/taxa/56061-Alliaria-petiolata", "View")</f>
        <v/>
      </c>
      <c r="J73" t="inlineStr">
        <is>
          <t>Alliaria petiolata</t>
        </is>
      </c>
      <c r="K73" t="inlineStr">
        <is>
          <t>Garlic mustard</t>
        </is>
      </c>
      <c r="L73" t="n">
        <v>56061</v>
      </c>
      <c r="M73" t="n">
        <v>96.88</v>
      </c>
      <c r="N73" t="n">
        <v>99.59999999999999</v>
      </c>
      <c r="O73" t="n">
        <v>1</v>
      </c>
      <c r="P73" t="inlineStr">
        <is>
          <t>Match</t>
        </is>
      </c>
      <c r="Q73" t="inlineStr">
        <is>
          <t>4</t>
        </is>
      </c>
      <c r="R73" t="n">
        <v>88.91</v>
      </c>
      <c r="S73" t="n">
        <v>39.89</v>
      </c>
      <c r="T73" t="inlineStr">
        <is>
          <t>Above</t>
        </is>
      </c>
      <c r="U73" t="inlineStr">
        <is>
          <t>Above</t>
        </is>
      </c>
      <c r="V73" t="inlineStr">
        <is>
          <t>Automatically confirmed</t>
        </is>
      </c>
    </row>
    <row r="74">
      <c r="A74" t="n">
        <v>50</v>
      </c>
      <c r="B74">
        <f>HYPERLINK("https://imapinvasives.natureserve.org/imap/services/page/Presence/1273444.html", "View")</f>
        <v/>
      </c>
      <c r="C74" t="n">
        <v>1273444</v>
      </c>
      <c r="D74" t="n">
        <v>1282602</v>
      </c>
      <c r="E74">
        <f>HYPERLINK("http://imap3images.s3-website-us-east-1.amazonaws.com/1282602/p/Photo2-20220601-142620.jpg", "View")</f>
        <v/>
      </c>
      <c r="F74" t="inlineStr">
        <is>
          <t>Artemisia vulgaris</t>
        </is>
      </c>
      <c r="G74" t="inlineStr">
        <is>
          <t>Common Wormwood</t>
        </is>
      </c>
      <c r="H74" t="n">
        <v>52856</v>
      </c>
      <c r="I74">
        <f>HYPERLINK("https://www.inaturalist.org/taxa/52856-Artemisia-vulgaris", "View")</f>
        <v/>
      </c>
      <c r="J74" t="inlineStr">
        <is>
          <t>Artemisia vulgaris</t>
        </is>
      </c>
      <c r="K74" t="inlineStr">
        <is>
          <t>Common mugwort</t>
        </is>
      </c>
      <c r="L74" t="n">
        <v>52856</v>
      </c>
      <c r="M74" t="n">
        <v>97.59</v>
      </c>
      <c r="N74" t="n">
        <v>94.03</v>
      </c>
      <c r="O74" t="n">
        <v>1</v>
      </c>
      <c r="P74" t="inlineStr">
        <is>
          <t>Match</t>
        </is>
      </c>
      <c r="Q74" t="inlineStr">
        <is>
          <t>4</t>
        </is>
      </c>
      <c r="R74" t="n">
        <v>77.62</v>
      </c>
      <c r="S74" t="n">
        <v>36.5</v>
      </c>
      <c r="T74" t="inlineStr">
        <is>
          <t>Above</t>
        </is>
      </c>
      <c r="U74" t="inlineStr">
        <is>
          <t>Above</t>
        </is>
      </c>
      <c r="V74" t="inlineStr">
        <is>
          <t>Automatically confirmed</t>
        </is>
      </c>
    </row>
    <row r="75">
      <c r="A75" t="n">
        <v>51</v>
      </c>
      <c r="B75">
        <f>HYPERLINK("https://imapinvasives.natureserve.org/imap/services/page/Presence/1283776.html", "View")</f>
        <v/>
      </c>
      <c r="C75" t="n">
        <v>1283776</v>
      </c>
      <c r="D75" t="n">
        <v>1293306</v>
      </c>
      <c r="E75">
        <f>HYPERLINK("http://imap3images.s3-website-us-east-1.amazonaws.com/1293306/p/Photo1-20220726-150642.jpg", "View")</f>
        <v/>
      </c>
      <c r="F75" t="inlineStr">
        <is>
          <t>Ailanthus altissima</t>
        </is>
      </c>
      <c r="G75" t="inlineStr">
        <is>
          <t>Tree-of-Heaven</t>
        </is>
      </c>
      <c r="H75" t="n">
        <v>57278</v>
      </c>
      <c r="I75">
        <f>HYPERLINK("https://www.inaturalist.org/taxa/57278-Ailanthus-altissima", "View")</f>
        <v/>
      </c>
      <c r="J75" t="inlineStr">
        <is>
          <t>Ailanthus altissima</t>
        </is>
      </c>
      <c r="K75" t="inlineStr">
        <is>
          <t>Tree-of-heaven</t>
        </is>
      </c>
      <c r="L75" t="n">
        <v>57278</v>
      </c>
      <c r="M75" t="n">
        <v>88.91</v>
      </c>
      <c r="N75" t="n">
        <v>72.20999999999999</v>
      </c>
      <c r="O75" t="n">
        <v>1</v>
      </c>
      <c r="P75" t="inlineStr">
        <is>
          <t>Match</t>
        </is>
      </c>
      <c r="Q75" t="inlineStr">
        <is>
          <t>4</t>
        </is>
      </c>
      <c r="R75" t="n">
        <v>87.09</v>
      </c>
      <c r="S75" t="n">
        <v>32.68</v>
      </c>
      <c r="T75" t="inlineStr">
        <is>
          <t>Below</t>
        </is>
      </c>
      <c r="U75" t="inlineStr">
        <is>
          <t>Above</t>
        </is>
      </c>
      <c r="V75" t="inlineStr">
        <is>
          <t>Manual review</t>
        </is>
      </c>
    </row>
    <row r="76">
      <c r="A76" t="n">
        <v>51</v>
      </c>
      <c r="B76">
        <f>HYPERLINK("https://imapinvasives.natureserve.org/imap/services/page/Presence/1283776.html", "View")</f>
        <v/>
      </c>
      <c r="C76" t="n">
        <v>1283776</v>
      </c>
      <c r="D76" t="n">
        <v>1293303</v>
      </c>
      <c r="E76">
        <f>HYPERLINK("http://imap3images.s3-website-us-east-1.amazonaws.com/1293303/p/Photo1-20220726-150920.jpg", "View")</f>
        <v/>
      </c>
      <c r="F76" t="inlineStr">
        <is>
          <t>Hedera helix</t>
        </is>
      </c>
      <c r="G76" t="inlineStr">
        <is>
          <t>English Ivy</t>
        </is>
      </c>
      <c r="H76" t="n">
        <v>55882</v>
      </c>
      <c r="I76">
        <f>HYPERLINK("https://www.inaturalist.org/taxa/55882-Hedera-helix", "View")</f>
        <v/>
      </c>
      <c r="J76" t="inlineStr">
        <is>
          <t>Hedera helix</t>
        </is>
      </c>
      <c r="K76" t="inlineStr">
        <is>
          <t>Common ivy</t>
        </is>
      </c>
      <c r="L76" t="n">
        <v>55882</v>
      </c>
      <c r="M76" t="n">
        <v>81.78</v>
      </c>
      <c r="N76" t="n">
        <v>84.09999999999999</v>
      </c>
      <c r="O76" t="n">
        <v>1</v>
      </c>
      <c r="P76" t="inlineStr">
        <is>
          <t>Match</t>
        </is>
      </c>
      <c r="Q76" t="inlineStr">
        <is>
          <t>nan</t>
        </is>
      </c>
      <c r="R76" t="n">
        <v>77.62</v>
      </c>
      <c r="S76" t="n">
        <v>36.5</v>
      </c>
      <c r="T76" t="inlineStr">
        <is>
          <t>Above</t>
        </is>
      </c>
      <c r="U76" t="inlineStr">
        <is>
          <t>Above</t>
        </is>
      </c>
      <c r="V76" t="inlineStr">
        <is>
          <t>Automatically confirmed</t>
        </is>
      </c>
    </row>
    <row r="77">
      <c r="A77" t="n">
        <v>51</v>
      </c>
      <c r="B77">
        <f>HYPERLINK("https://imapinvasives.natureserve.org/imap/services/page/Presence/1283776.html", "View")</f>
        <v/>
      </c>
      <c r="C77" t="n">
        <v>1283776</v>
      </c>
      <c r="D77" t="n">
        <v>1293302</v>
      </c>
      <c r="E77">
        <f>HYPERLINK("http://imap3images.s3-website-us-east-1.amazonaws.com/1293302/p/Photo2-20220726-145858.jpg", "View")</f>
        <v/>
      </c>
      <c r="F77" t="inlineStr">
        <is>
          <t>Aralia elata</t>
        </is>
      </c>
      <c r="G77" t="inlineStr">
        <is>
          <t>Japanese Angelica Tree</t>
        </is>
      </c>
      <c r="H77" t="n">
        <v>158549</v>
      </c>
      <c r="I77">
        <f>HYPERLINK("https://www.inaturalist.org/taxa/158549-Aralia-elata", "View")</f>
        <v/>
      </c>
      <c r="J77" t="inlineStr">
        <is>
          <t>Aralia elata</t>
        </is>
      </c>
      <c r="K77" t="inlineStr">
        <is>
          <t>Japanese angelica tree</t>
        </is>
      </c>
      <c r="L77" t="n">
        <v>158549</v>
      </c>
      <c r="M77" t="n">
        <v>62.39</v>
      </c>
      <c r="N77" t="n">
        <v>95.61</v>
      </c>
      <c r="O77" t="n">
        <v>1</v>
      </c>
      <c r="P77" t="inlineStr">
        <is>
          <t>Match</t>
        </is>
      </c>
      <c r="Q77" t="inlineStr">
        <is>
          <t>4</t>
        </is>
      </c>
      <c r="R77" t="n">
        <v>77.62</v>
      </c>
      <c r="S77" t="n">
        <v>36.5</v>
      </c>
      <c r="T77" t="inlineStr">
        <is>
          <t>Above</t>
        </is>
      </c>
      <c r="U77" t="inlineStr">
        <is>
          <t>Above</t>
        </is>
      </c>
      <c r="V77" t="inlineStr">
        <is>
          <t>Automatically confirmed</t>
        </is>
      </c>
    </row>
    <row r="78">
      <c r="A78" t="n">
        <v>51</v>
      </c>
      <c r="B78">
        <f>HYPERLINK("https://imapinvasives.natureserve.org/imap/services/page/Presence/1283776.html", "View")</f>
        <v/>
      </c>
      <c r="C78" t="n">
        <v>1283776</v>
      </c>
      <c r="D78" t="n">
        <v>1293304</v>
      </c>
      <c r="E78">
        <f>HYPERLINK("http://imap3images.s3-website-us-east-1.amazonaws.com/1293304/p/Photo1-20220726-150831.jpg", "View")</f>
        <v/>
      </c>
      <c r="F78" t="inlineStr">
        <is>
          <t>Artemisia vulgaris</t>
        </is>
      </c>
      <c r="G78" t="inlineStr">
        <is>
          <t>Common Wormwood</t>
        </is>
      </c>
      <c r="H78" t="n">
        <v>52856</v>
      </c>
      <c r="I78">
        <f>HYPERLINK("https://www.inaturalist.org/taxa/52856-Artemisia-vulgaris", "View")</f>
        <v/>
      </c>
      <c r="J78" t="inlineStr">
        <is>
          <t>Artemisia vulgaris</t>
        </is>
      </c>
      <c r="K78" t="inlineStr">
        <is>
          <t>Common mugwort</t>
        </is>
      </c>
      <c r="L78" t="n">
        <v>52856</v>
      </c>
      <c r="M78" t="n">
        <v>97.59</v>
      </c>
      <c r="N78" t="n">
        <v>88.92</v>
      </c>
      <c r="O78" t="n">
        <v>1</v>
      </c>
      <c r="P78" t="inlineStr">
        <is>
          <t>Match</t>
        </is>
      </c>
      <c r="Q78" t="inlineStr">
        <is>
          <t>4</t>
        </is>
      </c>
      <c r="R78" t="n">
        <v>77.62</v>
      </c>
      <c r="S78" t="n">
        <v>36.5</v>
      </c>
      <c r="T78" t="inlineStr">
        <is>
          <t>Above</t>
        </is>
      </c>
      <c r="U78" t="inlineStr">
        <is>
          <t>Above</t>
        </is>
      </c>
      <c r="V78" t="inlineStr">
        <is>
          <t>Automatically confirmed</t>
        </is>
      </c>
    </row>
    <row r="79">
      <c r="A79" t="n">
        <v>52</v>
      </c>
      <c r="B79">
        <f>HYPERLINK("https://imapinvasives.natureserve.org/imap/services/page/Presence/1393478.html", "View")</f>
        <v/>
      </c>
      <c r="C79" t="n">
        <v>1393478</v>
      </c>
      <c r="D79" t="n">
        <v>1411617</v>
      </c>
      <c r="E79">
        <f>HYPERLINK("http://imap3images.s3-website-us-east-1.amazonaws.com/1411617/p/Artemisia_vulgaris.JPEG", "View")</f>
        <v/>
      </c>
      <c r="F79" t="inlineStr">
        <is>
          <t>Artemisia vulgaris</t>
        </is>
      </c>
      <c r="G79" t="inlineStr">
        <is>
          <t>Common Wormwood</t>
        </is>
      </c>
      <c r="H79" t="n">
        <v>52856</v>
      </c>
      <c r="I79">
        <f>HYPERLINK("https://www.inaturalist.org/taxa/52856-Artemisia-vulgaris", "View")</f>
        <v/>
      </c>
      <c r="J79" t="inlineStr">
        <is>
          <t>Artemisia vulgaris</t>
        </is>
      </c>
      <c r="K79" t="inlineStr">
        <is>
          <t>Common mugwort</t>
        </is>
      </c>
      <c r="L79" t="n">
        <v>52856</v>
      </c>
      <c r="M79" t="n">
        <v>97.59</v>
      </c>
      <c r="N79" t="n">
        <v>18.23</v>
      </c>
      <c r="O79" t="n">
        <v>1</v>
      </c>
      <c r="P79" t="inlineStr">
        <is>
          <t>Match</t>
        </is>
      </c>
      <c r="Q79" t="inlineStr">
        <is>
          <t>4</t>
        </is>
      </c>
      <c r="R79" t="n">
        <v>77.62</v>
      </c>
      <c r="S79" t="n">
        <v>36.5</v>
      </c>
      <c r="T79" t="inlineStr">
        <is>
          <t>Below</t>
        </is>
      </c>
      <c r="U79" t="inlineStr">
        <is>
          <t>Above</t>
        </is>
      </c>
      <c r="V79" t="inlineStr">
        <is>
          <t>Manual review</t>
        </is>
      </c>
    </row>
    <row r="80">
      <c r="A80" t="n">
        <v>53</v>
      </c>
      <c r="B80">
        <f>HYPERLINK("https://imapinvasives.natureserve.org/imap/services/page/Presence/1037387.html", "View")</f>
        <v/>
      </c>
      <c r="C80" t="n">
        <v>1037387</v>
      </c>
      <c r="D80" t="n">
        <v>1040726</v>
      </c>
      <c r="E80">
        <f>HYPERLINK("http://imap3images.s3-website-us-east-1.amazonaws.com/1040726/p/IMG_20190721_093415191.jpg", "View")</f>
        <v/>
      </c>
      <c r="F80" t="inlineStr">
        <is>
          <t>Brachypodium sylvaticum</t>
        </is>
      </c>
      <c r="G80" t="inlineStr">
        <is>
          <t>Slender False Brome</t>
        </is>
      </c>
      <c r="H80" t="n">
        <v>75865</v>
      </c>
      <c r="I80">
        <f>HYPERLINK("https://www.inaturalist.org/taxa/160098-Carex-scabrata", "View")</f>
        <v/>
      </c>
      <c r="J80" t="inlineStr">
        <is>
          <t>Carex scabrata</t>
        </is>
      </c>
      <c r="K80" t="inlineStr">
        <is>
          <t>Eastern rough sedge</t>
        </is>
      </c>
      <c r="L80" t="n">
        <v>160098</v>
      </c>
      <c r="M80" t="n">
        <v>2.28</v>
      </c>
      <c r="N80" t="n">
        <v>24.23</v>
      </c>
      <c r="O80" t="n">
        <v>0</v>
      </c>
      <c r="P80" t="inlineStr">
        <is>
          <t>Unmatch</t>
        </is>
      </c>
      <c r="Q80" t="inlineStr">
        <is>
          <t>nan</t>
        </is>
      </c>
      <c r="R80" t="n">
        <v>77.62</v>
      </c>
      <c r="S80" t="n">
        <v>36.5</v>
      </c>
      <c r="T80" t="inlineStr">
        <is>
          <t>Below</t>
        </is>
      </c>
      <c r="U80" t="inlineStr">
        <is>
          <t>Below</t>
        </is>
      </c>
      <c r="V80" t="inlineStr">
        <is>
          <t>Manual review</t>
        </is>
      </c>
    </row>
    <row r="81">
      <c r="A81" t="n">
        <v>54</v>
      </c>
      <c r="B81">
        <f>HYPERLINK("https://imapinvasives.natureserve.org/imap/services/page/Presence/1045228.html", "View")</f>
        <v/>
      </c>
      <c r="C81" t="n">
        <v>1045228</v>
      </c>
      <c r="D81" t="n">
        <v>1049133</v>
      </c>
      <c r="E81">
        <f>HYPERLINK("http://imap3images.s3-website-us-east-1.amazonaws.com/1049133/p/IMG_4939.jpg", "View")</f>
        <v/>
      </c>
      <c r="F81" t="inlineStr">
        <is>
          <t>Brachypodium sylvaticum</t>
        </is>
      </c>
      <c r="G81" t="inlineStr">
        <is>
          <t>Slender False Brome</t>
        </is>
      </c>
      <c r="H81" t="n">
        <v>75865</v>
      </c>
      <c r="I81">
        <f>HYPERLINK("https://www.inaturalist.org/taxa/130174-Danthonia-spicata", "View")</f>
        <v/>
      </c>
      <c r="J81" t="inlineStr">
        <is>
          <t>Danthonia spicata</t>
        </is>
      </c>
      <c r="K81" t="inlineStr">
        <is>
          <t>Poverty oatgrass</t>
        </is>
      </c>
      <c r="L81" t="n">
        <v>130174</v>
      </c>
      <c r="M81" t="n">
        <v>3.54</v>
      </c>
      <c r="N81" t="n">
        <v>27.85</v>
      </c>
      <c r="O81" t="n">
        <v>0</v>
      </c>
      <c r="P81" t="inlineStr">
        <is>
          <t>Unmatch</t>
        </is>
      </c>
      <c r="Q81" t="inlineStr">
        <is>
          <t>nan</t>
        </is>
      </c>
      <c r="R81" t="n">
        <v>77.62</v>
      </c>
      <c r="S81" t="n">
        <v>36.5</v>
      </c>
      <c r="T81" t="inlineStr">
        <is>
          <t>Below</t>
        </is>
      </c>
      <c r="U81" t="inlineStr">
        <is>
          <t>Below</t>
        </is>
      </c>
      <c r="V81" t="inlineStr">
        <is>
          <t>Manual review</t>
        </is>
      </c>
    </row>
    <row r="82">
      <c r="A82" t="n">
        <v>55</v>
      </c>
      <c r="B82">
        <f>HYPERLINK("https://imapinvasives.natureserve.org/imap/services/page/Presence/1061881.html", "View")</f>
        <v/>
      </c>
      <c r="C82" t="n">
        <v>1061881</v>
      </c>
      <c r="D82" t="n">
        <v>1066423</v>
      </c>
      <c r="E82">
        <f>HYPERLINK("http://imap3images.s3-website-us-east-1.amazonaws.com/1066423/p/0805201048a.jpg", "View")</f>
        <v/>
      </c>
      <c r="F82" t="inlineStr">
        <is>
          <t>Brachypodium sylvaticum</t>
        </is>
      </c>
      <c r="G82" t="inlineStr">
        <is>
          <t>Slender False Brome</t>
        </is>
      </c>
      <c r="H82" t="n">
        <v>75865</v>
      </c>
      <c r="I82">
        <f>HYPERLINK("https://www.inaturalist.org/taxa/64177-Leersia-oryzoides", "View")</f>
        <v/>
      </c>
      <c r="J82" t="inlineStr">
        <is>
          <t>Leersia oryzoides</t>
        </is>
      </c>
      <c r="K82" t="inlineStr">
        <is>
          <t>Rice cutgrass</t>
        </is>
      </c>
      <c r="L82" t="n">
        <v>64177</v>
      </c>
      <c r="M82" t="n">
        <v>2.19</v>
      </c>
      <c r="N82" t="n">
        <v>6.63</v>
      </c>
      <c r="O82" t="n">
        <v>0</v>
      </c>
      <c r="P82" t="inlineStr">
        <is>
          <t>Unmatch</t>
        </is>
      </c>
      <c r="Q82" t="inlineStr">
        <is>
          <t>nan</t>
        </is>
      </c>
      <c r="R82" t="n">
        <v>77.62</v>
      </c>
      <c r="S82" t="n">
        <v>36.5</v>
      </c>
      <c r="T82" t="inlineStr">
        <is>
          <t>Below</t>
        </is>
      </c>
      <c r="U82" t="inlineStr">
        <is>
          <t>Below</t>
        </is>
      </c>
      <c r="V82" t="inlineStr">
        <is>
          <t>Manual review</t>
        </is>
      </c>
    </row>
    <row r="83">
      <c r="A83" t="n">
        <v>56</v>
      </c>
      <c r="B83">
        <f>HYPERLINK("https://imapinvasives.natureserve.org/imap/services/page/Presence/1064408.html", "View")</f>
        <v/>
      </c>
      <c r="C83" t="n">
        <v>1064408</v>
      </c>
      <c r="D83" t="n">
        <v>1069153</v>
      </c>
      <c r="E83">
        <f>HYPERLINK("http://imap3images.s3-website-us-east-1.amazonaws.com/1069153/p/IMG_0148.JPEG", "View")</f>
        <v/>
      </c>
      <c r="F83" t="inlineStr">
        <is>
          <t>Brachypodium sylvaticum</t>
        </is>
      </c>
      <c r="G83" t="inlineStr">
        <is>
          <t>Slender False Brome</t>
        </is>
      </c>
      <c r="H83" t="n">
        <v>75865</v>
      </c>
      <c r="I83">
        <f>HYPERLINK("https://www.inaturalist.org/taxa/488787-Calamagrostis-arundinacea", "View")</f>
        <v/>
      </c>
      <c r="J83" t="inlineStr">
        <is>
          <t>Calamagrostis arundinacea</t>
        </is>
      </c>
      <c r="K83" t="inlineStr">
        <is>
          <t>Rough reedgrass</t>
        </is>
      </c>
      <c r="L83" t="n">
        <v>488787</v>
      </c>
      <c r="M83" t="n">
        <v>0</v>
      </c>
      <c r="N83" t="n">
        <v>11.6</v>
      </c>
      <c r="O83" t="n">
        <v>0</v>
      </c>
      <c r="P83" t="inlineStr">
        <is>
          <t>Unmatch</t>
        </is>
      </c>
      <c r="Q83" t="inlineStr">
        <is>
          <t>nan</t>
        </is>
      </c>
      <c r="R83" t="n">
        <v>77.62</v>
      </c>
      <c r="S83" t="n">
        <v>36.5</v>
      </c>
      <c r="T83" t="inlineStr">
        <is>
          <t>Below</t>
        </is>
      </c>
      <c r="U83" t="inlineStr">
        <is>
          <t>Below</t>
        </is>
      </c>
      <c r="V83" t="inlineStr">
        <is>
          <t>Manual review</t>
        </is>
      </c>
    </row>
    <row r="84">
      <c r="A84" t="n">
        <v>57</v>
      </c>
      <c r="B84">
        <f>HYPERLINK("https://imapinvasives.natureserve.org/imap/services/page/Presence/1078275.html", "View")</f>
        <v/>
      </c>
      <c r="C84" t="n">
        <v>1078275</v>
      </c>
      <c r="D84" t="n">
        <v>1083880</v>
      </c>
      <c r="E84">
        <f>HYPERLINK("http://imap3images.s3-website-us-east-1.amazonaws.com/1083880/p/20201124_104556.jpeg", "View")</f>
        <v/>
      </c>
      <c r="F84" t="inlineStr">
        <is>
          <t>Brachypodium sylvaticum</t>
        </is>
      </c>
      <c r="G84" t="inlineStr">
        <is>
          <t>Slender False Brome</t>
        </is>
      </c>
      <c r="H84" t="n">
        <v>75865</v>
      </c>
      <c r="I84">
        <f>HYPERLINK("https://www.inaturalist.org/taxa/488047-Hordelymus-europaeus", "View")</f>
        <v/>
      </c>
      <c r="J84" t="inlineStr">
        <is>
          <t>Hordelymus europaeus</t>
        </is>
      </c>
      <c r="K84" t="inlineStr">
        <is>
          <t>Wood barley</t>
        </is>
      </c>
      <c r="L84" t="n">
        <v>488047</v>
      </c>
      <c r="M84" t="n">
        <v>0</v>
      </c>
      <c r="N84" t="n">
        <v>42</v>
      </c>
      <c r="O84" t="n">
        <v>0</v>
      </c>
      <c r="P84" t="inlineStr">
        <is>
          <t>Unmatch</t>
        </is>
      </c>
      <c r="Q84" t="inlineStr">
        <is>
          <t>nan</t>
        </is>
      </c>
      <c r="R84" t="n">
        <v>77.62</v>
      </c>
      <c r="S84" t="n">
        <v>36.5</v>
      </c>
      <c r="T84" t="inlineStr">
        <is>
          <t>Below</t>
        </is>
      </c>
      <c r="U84" t="inlineStr">
        <is>
          <t>Below</t>
        </is>
      </c>
      <c r="V84" t="inlineStr">
        <is>
          <t>Manual review</t>
        </is>
      </c>
    </row>
    <row r="85">
      <c r="A85" t="n">
        <v>58</v>
      </c>
      <c r="B85">
        <f>HYPERLINK("https://imapinvasives.natureserve.org/imap/services/page/Presence/1393542.html", "View")</f>
        <v/>
      </c>
      <c r="C85" t="n">
        <v>1393542</v>
      </c>
      <c r="D85" t="n">
        <v>1411682</v>
      </c>
      <c r="E85">
        <f>HYPERLINK("http://imap3images.s3-website-us-east-1.amazonaws.com/1411682/p/HWA_Chestnut_Ridge__Erie_County.jpg", "View")</f>
        <v/>
      </c>
      <c r="F85" t="inlineStr">
        <is>
          <t>Adelges tsugae</t>
        </is>
      </c>
      <c r="G85" t="inlineStr">
        <is>
          <t>Hemlock Woolly Adelgid</t>
        </is>
      </c>
      <c r="H85" t="n">
        <v>61513</v>
      </c>
      <c r="I85" t="inlineStr">
        <is>
          <t>Unknown</t>
        </is>
      </c>
      <c r="J85" t="inlineStr">
        <is>
          <t>Unknown</t>
        </is>
      </c>
      <c r="K85" t="inlineStr">
        <is>
          <t>Unknown</t>
        </is>
      </c>
      <c r="L85" t="inlineStr">
        <is>
          <t>Unknown</t>
        </is>
      </c>
      <c r="M85" t="inlineStr">
        <is>
          <t>Unknown</t>
        </is>
      </c>
      <c r="N85" t="inlineStr">
        <is>
          <t>Unknown</t>
        </is>
      </c>
      <c r="O85" t="n">
        <v>0</v>
      </c>
      <c r="P85" t="inlineStr">
        <is>
          <t>Unmatch</t>
        </is>
      </c>
      <c r="Q85" t="inlineStr">
        <is>
          <t>3</t>
        </is>
      </c>
      <c r="R85" t="n">
        <v>82.84999999999999</v>
      </c>
      <c r="S85" t="n">
        <v>21.26</v>
      </c>
      <c r="T85" t="inlineStr">
        <is>
          <t>Below</t>
        </is>
      </c>
      <c r="U85" t="inlineStr">
        <is>
          <t>Below</t>
        </is>
      </c>
      <c r="V85" t="inlineStr">
        <is>
          <t>Manual review</t>
        </is>
      </c>
    </row>
    <row r="86">
      <c r="A86" t="n">
        <v>59</v>
      </c>
      <c r="B86">
        <f>HYPERLINK("https://imapinvasives.natureserve.org/imap/services/page/Presence/1394580.html", "View")</f>
        <v/>
      </c>
      <c r="C86" t="n">
        <v>1394580</v>
      </c>
      <c r="D86" t="n">
        <v>1412861</v>
      </c>
      <c r="E86">
        <f>HYPERLINK("http://imap3images.s3-website-us-east-1.amazonaws.com/1412861/p/IMG_4709.jpeg", "View")</f>
        <v/>
      </c>
      <c r="F86" t="inlineStr">
        <is>
          <t>Pyrus calleryana</t>
        </is>
      </c>
      <c r="G86" t="inlineStr">
        <is>
          <t>Bradford Pear</t>
        </is>
      </c>
      <c r="H86" t="n">
        <v>119793</v>
      </c>
      <c r="I86">
        <f>HYPERLINK("https://www.inaturalist.org/taxa/165104-Malus-baccata", "View")</f>
        <v/>
      </c>
      <c r="J86" t="inlineStr">
        <is>
          <t>Malus baccata</t>
        </is>
      </c>
      <c r="K86" t="inlineStr">
        <is>
          <t>Siberian crabapple</t>
        </is>
      </c>
      <c r="L86" t="n">
        <v>165104</v>
      </c>
      <c r="M86" t="n">
        <v>4.02</v>
      </c>
      <c r="N86" t="n">
        <v>45.25</v>
      </c>
      <c r="O86" t="n">
        <v>0</v>
      </c>
      <c r="P86" t="inlineStr">
        <is>
          <t>Unmatch</t>
        </is>
      </c>
      <c r="Q86" t="inlineStr">
        <is>
          <t>4</t>
        </is>
      </c>
      <c r="R86" t="n">
        <v>77.62</v>
      </c>
      <c r="S86" t="n">
        <v>36.5</v>
      </c>
      <c r="T86" t="inlineStr">
        <is>
          <t>Below</t>
        </is>
      </c>
      <c r="U86" t="inlineStr">
        <is>
          <t>Below</t>
        </is>
      </c>
      <c r="V86" t="inlineStr">
        <is>
          <t>Manual review</t>
        </is>
      </c>
    </row>
    <row r="87">
      <c r="A87" t="n">
        <v>60</v>
      </c>
      <c r="B87">
        <f>HYPERLINK("https://imapinvasives.natureserve.org/imap/services/page/Presence/1395140.html", "View")</f>
        <v/>
      </c>
      <c r="C87" t="n">
        <v>1395140</v>
      </c>
      <c r="D87" t="n">
        <v>1413560</v>
      </c>
      <c r="E87">
        <f>HYPERLINK("http://imap3images.s3-website-us-east-1.amazonaws.com/1413560/p/IMG_1367.JPG", "View")</f>
        <v/>
      </c>
      <c r="F87" t="inlineStr">
        <is>
          <t>Lonicera tatarica</t>
        </is>
      </c>
      <c r="G87" t="inlineStr">
        <is>
          <t>Tatarian Honeysuckle</t>
        </is>
      </c>
      <c r="H87" t="n">
        <v>77836</v>
      </c>
      <c r="I87">
        <f>HYPERLINK("https://www.inaturalist.org/taxa/43794-Castor-canadensis", "View")</f>
        <v/>
      </c>
      <c r="J87" t="inlineStr">
        <is>
          <t>Castor canadensis</t>
        </is>
      </c>
      <c r="K87" t="inlineStr">
        <is>
          <t>American beaver</t>
        </is>
      </c>
      <c r="L87" t="n">
        <v>43794</v>
      </c>
      <c r="M87" t="n">
        <v>22.71</v>
      </c>
      <c r="N87" t="n">
        <v>17.08</v>
      </c>
      <c r="O87" t="n">
        <v>0</v>
      </c>
      <c r="P87" t="inlineStr">
        <is>
          <t>Unmatch</t>
        </is>
      </c>
      <c r="Q87" t="inlineStr">
        <is>
          <t>4</t>
        </is>
      </c>
      <c r="R87" t="n">
        <v>77.62</v>
      </c>
      <c r="S87" t="n">
        <v>36.5</v>
      </c>
      <c r="T87" t="inlineStr">
        <is>
          <t>Below</t>
        </is>
      </c>
      <c r="U87" t="inlineStr">
        <is>
          <t>Below</t>
        </is>
      </c>
      <c r="V87" t="inlineStr">
        <is>
          <t>Manual review</t>
        </is>
      </c>
    </row>
    <row r="88">
      <c r="A88" t="n">
        <v>61</v>
      </c>
      <c r="B88">
        <f>HYPERLINK("https://imapinvasives.natureserve.org/imap/services/page/Presence/1395141.html", "View")</f>
        <v/>
      </c>
      <c r="C88" t="n">
        <v>1395141</v>
      </c>
      <c r="D88" t="n">
        <v>1413561</v>
      </c>
      <c r="E88">
        <f>HYPERLINK("http://imap3images.s3-website-us-east-1.amazonaws.com/1413561/p/IMG_1368.JPG", "View")</f>
        <v/>
      </c>
      <c r="F88" t="inlineStr">
        <is>
          <t>Lonicera tatarica</t>
        </is>
      </c>
      <c r="G88" t="inlineStr">
        <is>
          <t>Tatarian Honeysuckle</t>
        </is>
      </c>
      <c r="H88" t="n">
        <v>77836</v>
      </c>
      <c r="I88">
        <f>HYPERLINK("https://www.inaturalist.org/taxa/138762-Psoralea-fascicularis", "View")</f>
        <v/>
      </c>
      <c r="J88" t="inlineStr">
        <is>
          <t>Psoralea fascicularis</t>
        </is>
      </c>
      <c r="K88" t="inlineStr">
        <is>
          <t>Largestipule fountainbush</t>
        </is>
      </c>
      <c r="L88" t="n">
        <v>138762</v>
      </c>
      <c r="M88" t="n">
        <v>0</v>
      </c>
      <c r="N88" t="n">
        <v>4.08</v>
      </c>
      <c r="O88" t="n">
        <v>0</v>
      </c>
      <c r="P88" t="inlineStr">
        <is>
          <t>Unmatch</t>
        </is>
      </c>
      <c r="Q88" t="inlineStr">
        <is>
          <t>4</t>
        </is>
      </c>
      <c r="R88" t="n">
        <v>77.62</v>
      </c>
      <c r="S88" t="n">
        <v>36.5</v>
      </c>
      <c r="T88" t="inlineStr">
        <is>
          <t>Below</t>
        </is>
      </c>
      <c r="U88" t="inlineStr">
        <is>
          <t>Below</t>
        </is>
      </c>
      <c r="V88" t="inlineStr">
        <is>
          <t>Manual review</t>
        </is>
      </c>
    </row>
    <row r="89">
      <c r="A89" t="n">
        <v>62</v>
      </c>
      <c r="B89">
        <f>HYPERLINK("https://imapinvasives.natureserve.org/imap/services/page/Presence/1395697.html", "View")</f>
        <v/>
      </c>
      <c r="C89" t="n">
        <v>1395697</v>
      </c>
      <c r="D89" t="n">
        <v>1414150</v>
      </c>
      <c r="E89">
        <f>HYPERLINK("http://imap3images.s3-website-us-east-1.amazonaws.com/1414150/p/Poison_hemlock.JPEG", "View")</f>
        <v/>
      </c>
      <c r="F89" t="inlineStr">
        <is>
          <t>Akebia quinata</t>
        </is>
      </c>
      <c r="G89" t="inlineStr">
        <is>
          <t>Five-leaf Akebia</t>
        </is>
      </c>
      <c r="H89" t="n">
        <v>126249</v>
      </c>
      <c r="I89">
        <f>HYPERLINK("https://www.inaturalist.org/taxa/914922-Reynoutria-japonica", "View")</f>
        <v/>
      </c>
      <c r="J89" t="inlineStr">
        <is>
          <t>Reynoutria japonica</t>
        </is>
      </c>
      <c r="K89" t="inlineStr">
        <is>
          <t>Japanese knotweed</t>
        </is>
      </c>
      <c r="L89" t="n">
        <v>914922</v>
      </c>
      <c r="M89" t="n">
        <v>87.31</v>
      </c>
      <c r="N89" t="n">
        <v>81.48999999999999</v>
      </c>
      <c r="O89" t="n">
        <v>0</v>
      </c>
      <c r="P89" t="inlineStr">
        <is>
          <t>Unmatch</t>
        </is>
      </c>
      <c r="Q89" t="inlineStr">
        <is>
          <t>4</t>
        </is>
      </c>
      <c r="R89" t="n">
        <v>77.62</v>
      </c>
      <c r="S89" t="n">
        <v>36.5</v>
      </c>
      <c r="T89" t="inlineStr">
        <is>
          <t>Above</t>
        </is>
      </c>
      <c r="U89" t="inlineStr">
        <is>
          <t>Above</t>
        </is>
      </c>
      <c r="V89" t="inlineStr">
        <is>
          <t>Manual review</t>
        </is>
      </c>
    </row>
    <row r="90">
      <c r="A90" t="n">
        <v>62</v>
      </c>
      <c r="B90">
        <f>HYPERLINK("https://imapinvasives.natureserve.org/imap/services/page/Presence/1395697.html", "View")</f>
        <v/>
      </c>
      <c r="C90" t="n">
        <v>1395697</v>
      </c>
      <c r="D90" t="n">
        <v>1414149</v>
      </c>
      <c r="E90">
        <f>HYPERLINK("http://imap3images.s3-website-us-east-1.amazonaws.com/1414149/p/Poison_hemlock.JPEG", "View")</f>
        <v/>
      </c>
      <c r="F90" t="inlineStr">
        <is>
          <t>Conium maculatum</t>
        </is>
      </c>
      <c r="G90" t="inlineStr">
        <is>
          <t>Poison-hemlock</t>
        </is>
      </c>
      <c r="H90" t="n">
        <v>52998</v>
      </c>
      <c r="I90">
        <f>HYPERLINK("https://www.inaturalist.org/taxa/914922-Reynoutria-japonica", "View")</f>
        <v/>
      </c>
      <c r="J90" t="inlineStr">
        <is>
          <t>Reynoutria japonica</t>
        </is>
      </c>
      <c r="K90" t="inlineStr">
        <is>
          <t>Japanese knotweed</t>
        </is>
      </c>
      <c r="L90" t="n">
        <v>914922</v>
      </c>
      <c r="M90" t="n">
        <v>87.31</v>
      </c>
      <c r="N90" t="n">
        <v>81.48999999999999</v>
      </c>
      <c r="O90" t="n">
        <v>0</v>
      </c>
      <c r="P90" t="inlineStr">
        <is>
          <t>Unmatch</t>
        </is>
      </c>
      <c r="Q90" t="inlineStr">
        <is>
          <t>4</t>
        </is>
      </c>
      <c r="R90" t="n">
        <v>77.62</v>
      </c>
      <c r="S90" t="n">
        <v>36.5</v>
      </c>
      <c r="T90" t="inlineStr">
        <is>
          <t>Above</t>
        </is>
      </c>
      <c r="U90" t="inlineStr">
        <is>
          <t>Above</t>
        </is>
      </c>
      <c r="V90" t="inlineStr">
        <is>
          <t>Manual review</t>
        </is>
      </c>
    </row>
    <row r="91">
      <c r="A91" t="n">
        <v>63</v>
      </c>
      <c r="B91">
        <f>HYPERLINK("https://imapinvasives.natureserve.org/imap/services/page/Presence/1407697.html", "View")</f>
        <v/>
      </c>
      <c r="C91" t="n">
        <v>1407697</v>
      </c>
      <c r="D91" t="n">
        <v>1420084</v>
      </c>
      <c r="E91">
        <f>HYPERLINK("http://imap3images.s3-website-us-east-1.amazonaws.com/1420084/p/Photo1-20240516-182418.jpg", "View")</f>
        <v/>
      </c>
      <c r="F91" t="inlineStr">
        <is>
          <t>Frangula alnus</t>
        </is>
      </c>
      <c r="G91" t="inlineStr">
        <is>
          <t>Glossy False Buckthorn</t>
        </is>
      </c>
      <c r="H91" t="n">
        <v>55972</v>
      </c>
      <c r="I91">
        <f>HYPERLINK("https://www.inaturalist.org/taxa/55972-Frangula-alnus", "View")</f>
        <v/>
      </c>
      <c r="J91" t="inlineStr">
        <is>
          <t>Frangula alnus</t>
        </is>
      </c>
      <c r="K91" t="inlineStr">
        <is>
          <t>Alder buckthorn</t>
        </is>
      </c>
      <c r="L91" t="n">
        <v>55972</v>
      </c>
      <c r="M91" t="n">
        <v>30.45</v>
      </c>
      <c r="N91" t="n">
        <v>97.51000000000001</v>
      </c>
      <c r="O91" t="n">
        <v>1</v>
      </c>
      <c r="P91" t="inlineStr">
        <is>
          <t>Match</t>
        </is>
      </c>
      <c r="Q91" t="inlineStr">
        <is>
          <t>4</t>
        </is>
      </c>
      <c r="R91" t="n">
        <v>77.62</v>
      </c>
      <c r="S91" t="n">
        <v>36.5</v>
      </c>
      <c r="T91" t="inlineStr">
        <is>
          <t>Above</t>
        </is>
      </c>
      <c r="U91" t="inlineStr">
        <is>
          <t>Below</t>
        </is>
      </c>
      <c r="V91" t="inlineStr">
        <is>
          <t>Automatically confirmed</t>
        </is>
      </c>
    </row>
    <row r="92">
      <c r="A92" t="n">
        <v>64</v>
      </c>
      <c r="B92">
        <f>HYPERLINK("https://imapinvasives.natureserve.org/imap/services/page/Presence/1411932.html", "View")</f>
        <v/>
      </c>
      <c r="C92" t="n">
        <v>1411932</v>
      </c>
      <c r="D92" t="n">
        <v>1424614</v>
      </c>
      <c r="E92">
        <f>HYPERLINK("http://imap3images.s3-website-us-east-1.amazonaws.com/1424614/p/Watermilfoil-2.jpg", "View")</f>
        <v/>
      </c>
      <c r="F92" t="inlineStr">
        <is>
          <t>Myriophyllum spicatum</t>
        </is>
      </c>
      <c r="G92" t="inlineStr">
        <is>
          <t>Eurasian Water-milfoil</t>
        </is>
      </c>
      <c r="H92" t="n">
        <v>78157</v>
      </c>
      <c r="I92">
        <f>HYPERLINK("https://www.inaturalist.org/taxa/78716-Potamogeton-robbinsii", "View")</f>
        <v/>
      </c>
      <c r="J92" t="inlineStr">
        <is>
          <t>Potamogeton robbinsii</t>
        </is>
      </c>
      <c r="K92" t="inlineStr">
        <is>
          <t>Robbins' pondweed</t>
        </is>
      </c>
      <c r="L92" t="n">
        <v>78716</v>
      </c>
      <c r="M92" t="n">
        <v>1.25</v>
      </c>
      <c r="N92" t="n">
        <v>11.55</v>
      </c>
      <c r="O92" t="n">
        <v>0</v>
      </c>
      <c r="P92" t="inlineStr">
        <is>
          <t>Unmatch</t>
        </is>
      </c>
      <c r="Q92" t="inlineStr">
        <is>
          <t>4</t>
        </is>
      </c>
      <c r="R92" t="n">
        <v>77.62</v>
      </c>
      <c r="S92" t="n">
        <v>36.5</v>
      </c>
      <c r="T92" t="inlineStr">
        <is>
          <t>Below</t>
        </is>
      </c>
      <c r="U92" t="inlineStr">
        <is>
          <t>Below</t>
        </is>
      </c>
      <c r="V92" t="inlineStr">
        <is>
          <t>Manual review</t>
        </is>
      </c>
    </row>
    <row r="93">
      <c r="A93" t="n">
        <v>65</v>
      </c>
      <c r="B93">
        <f>HYPERLINK("https://imapinvasives.natureserve.org/imap/services/page/Presence/1411934.html", "View")</f>
        <v/>
      </c>
      <c r="C93" t="n">
        <v>1411934</v>
      </c>
      <c r="D93" t="n">
        <v>1424616</v>
      </c>
      <c r="E93">
        <f>HYPERLINK("http://imap3images.s3-website-us-east-1.amazonaws.com/1424616/p/IMG_3942_false_spirea_(5).JPG", "View")</f>
        <v/>
      </c>
      <c r="F93" t="inlineStr">
        <is>
          <t>Sorbaria sorbifolia</t>
        </is>
      </c>
      <c r="G93" t="inlineStr">
        <is>
          <t>False Spiraea</t>
        </is>
      </c>
      <c r="H93" t="n">
        <v>169144</v>
      </c>
      <c r="I93">
        <f>HYPERLINK("https://www.inaturalist.org/taxa/1002684-Osmunda-spectabilis", "View")</f>
        <v/>
      </c>
      <c r="J93" t="inlineStr">
        <is>
          <t>Osmunda spectabilis</t>
        </is>
      </c>
      <c r="K93" t="inlineStr">
        <is>
          <t>American royal fern</t>
        </is>
      </c>
      <c r="L93" t="n">
        <v>1002684</v>
      </c>
      <c r="M93" t="n">
        <v>25.48</v>
      </c>
      <c r="N93" t="n">
        <v>64.76000000000001</v>
      </c>
      <c r="O93" t="n">
        <v>0</v>
      </c>
      <c r="P93" t="inlineStr">
        <is>
          <t>Unmatch</t>
        </is>
      </c>
      <c r="Q93" t="inlineStr">
        <is>
          <t>4</t>
        </is>
      </c>
      <c r="R93" t="n">
        <v>77.62</v>
      </c>
      <c r="S93" t="n">
        <v>36.5</v>
      </c>
      <c r="T93" t="inlineStr">
        <is>
          <t>Below</t>
        </is>
      </c>
      <c r="U93" t="inlineStr">
        <is>
          <t>Below</t>
        </is>
      </c>
      <c r="V93" t="inlineStr">
        <is>
          <t>Manual review</t>
        </is>
      </c>
    </row>
    <row r="94">
      <c r="A94" t="n">
        <v>66</v>
      </c>
      <c r="B94">
        <f>HYPERLINK("https://imapinvasives.natureserve.org/imap/services/page/Presence/1412011.html", "View")</f>
        <v/>
      </c>
      <c r="C94" t="n">
        <v>1412011</v>
      </c>
      <c r="D94" t="n">
        <v>1424704</v>
      </c>
      <c r="E94">
        <f>HYPERLINK("http://imap3images.s3-website-us-east-1.amazonaws.com/1424704/p/IMG_8641.JPG", "View")</f>
        <v/>
      </c>
      <c r="F94" t="inlineStr">
        <is>
          <t>Conium maculatum</t>
        </is>
      </c>
      <c r="G94" t="inlineStr">
        <is>
          <t>Poison-hemlock</t>
        </is>
      </c>
      <c r="H94" t="n">
        <v>52998</v>
      </c>
      <c r="I94">
        <f>HYPERLINK("https://www.inaturalist.org/taxa/60125-Cicuta-maculata", "View")</f>
        <v/>
      </c>
      <c r="J94" t="inlineStr">
        <is>
          <t>Cicuta maculata</t>
        </is>
      </c>
      <c r="K94" t="inlineStr">
        <is>
          <t>Water hemlock</t>
        </is>
      </c>
      <c r="L94" t="n">
        <v>60125</v>
      </c>
      <c r="M94" t="n">
        <v>3.59</v>
      </c>
      <c r="N94" t="n">
        <v>83.09</v>
      </c>
      <c r="O94" t="n">
        <v>0</v>
      </c>
      <c r="P94" t="inlineStr">
        <is>
          <t>Unmatch</t>
        </is>
      </c>
      <c r="Q94" t="inlineStr">
        <is>
          <t>4</t>
        </is>
      </c>
      <c r="R94" t="n">
        <v>77.62</v>
      </c>
      <c r="S94" t="n">
        <v>36.5</v>
      </c>
      <c r="T94" t="inlineStr">
        <is>
          <t>Above</t>
        </is>
      </c>
      <c r="U94" t="inlineStr">
        <is>
          <t>Below</t>
        </is>
      </c>
      <c r="V94" t="inlineStr">
        <is>
          <t>Manual review</t>
        </is>
      </c>
    </row>
    <row r="95">
      <c r="A95" t="n">
        <v>67</v>
      </c>
      <c r="B95">
        <f>HYPERLINK("https://imapinvasives.natureserve.org/imap/services/page/Presence/1412340.html", "View")</f>
        <v/>
      </c>
      <c r="C95" t="n">
        <v>1412340</v>
      </c>
      <c r="D95" t="n">
        <v>1425061</v>
      </c>
      <c r="E95">
        <f>HYPERLINK("http://imap3images.s3-website-us-east-1.amazonaws.com/1425061/p/2024-06-21T13_24_53-04_00.jpg", "View")</f>
        <v/>
      </c>
      <c r="F95" t="inlineStr">
        <is>
          <t>Ailanthus altissima</t>
        </is>
      </c>
      <c r="G95" t="inlineStr">
        <is>
          <t>Tree-of-Heaven</t>
        </is>
      </c>
      <c r="H95" t="n">
        <v>57278</v>
      </c>
      <c r="I95">
        <f>HYPERLINK("https://www.inaturalist.org/taxa/57278-Ailanthus-altissima", "View")</f>
        <v/>
      </c>
      <c r="J95" t="inlineStr">
        <is>
          <t>Ailanthus altissima</t>
        </is>
      </c>
      <c r="K95" t="inlineStr">
        <is>
          <t>Tree-of-heaven</t>
        </is>
      </c>
      <c r="L95" t="n">
        <v>57278</v>
      </c>
      <c r="M95" t="n">
        <v>88.91</v>
      </c>
      <c r="N95" t="n">
        <v>93.33</v>
      </c>
      <c r="O95" t="n">
        <v>1</v>
      </c>
      <c r="P95" t="inlineStr">
        <is>
          <t>Match</t>
        </is>
      </c>
      <c r="Q95" t="inlineStr">
        <is>
          <t>4</t>
        </is>
      </c>
      <c r="R95" t="n">
        <v>87.09</v>
      </c>
      <c r="S95" t="n">
        <v>32.68</v>
      </c>
      <c r="T95" t="inlineStr">
        <is>
          <t>Above</t>
        </is>
      </c>
      <c r="U95" t="inlineStr">
        <is>
          <t>Above</t>
        </is>
      </c>
      <c r="V95" t="inlineStr">
        <is>
          <t>Automatically confirmed</t>
        </is>
      </c>
    </row>
    <row r="96">
      <c r="A96" t="n">
        <v>67</v>
      </c>
      <c r="B96">
        <f>HYPERLINK("https://imapinvasives.natureserve.org/imap/services/page/Presence/1412340.html", "View")</f>
        <v/>
      </c>
      <c r="C96" t="n">
        <v>1412340</v>
      </c>
      <c r="D96" t="n">
        <v>1425063</v>
      </c>
      <c r="E96">
        <f>HYPERLINK("http://imap3images.s3-website-us-east-1.amazonaws.com/1425063/p/PXL_20240621_172524714.jpg", "View")</f>
        <v/>
      </c>
      <c r="F96" t="inlineStr">
        <is>
          <t>Lycorma delicatula</t>
        </is>
      </c>
      <c r="G96" t="inlineStr">
        <is>
          <t>Spotted Lanternfly</t>
        </is>
      </c>
      <c r="H96" t="n">
        <v>324726</v>
      </c>
      <c r="I96">
        <f>HYPERLINK("https://www.inaturalist.org/taxa/324726-Lycorma-delicatula", "View")</f>
        <v/>
      </c>
      <c r="J96" t="inlineStr">
        <is>
          <t>Lycorma delicatula</t>
        </is>
      </c>
      <c r="K96" t="inlineStr">
        <is>
          <t>Spotted lanternfly</t>
        </is>
      </c>
      <c r="L96" t="n">
        <v>324726</v>
      </c>
      <c r="M96" t="n">
        <v>95.23999999999999</v>
      </c>
      <c r="N96" t="n">
        <v>96.19</v>
      </c>
      <c r="O96" t="n">
        <v>1</v>
      </c>
      <c r="P96" t="inlineStr">
        <is>
          <t>Match</t>
        </is>
      </c>
      <c r="Q96" t="inlineStr">
        <is>
          <t>3</t>
        </is>
      </c>
      <c r="R96" t="n">
        <v>92.79000000000001</v>
      </c>
      <c r="S96" t="n">
        <v>72.02</v>
      </c>
      <c r="T96" t="inlineStr">
        <is>
          <t>Above</t>
        </is>
      </c>
      <c r="U96" t="inlineStr">
        <is>
          <t>Above</t>
        </is>
      </c>
      <c r="V96" t="inlineStr">
        <is>
          <t>Automatically confirmed</t>
        </is>
      </c>
    </row>
    <row r="97">
      <c r="A97" t="n">
        <v>67</v>
      </c>
      <c r="B97">
        <f>HYPERLINK("https://imapinvasives.natureserve.org/imap/services/page/Presence/1412340.html", "View")</f>
        <v/>
      </c>
      <c r="C97" t="n">
        <v>1412340</v>
      </c>
      <c r="D97" t="n">
        <v>1425062</v>
      </c>
      <c r="E97">
        <f>HYPERLINK("http://imap3images.s3-website-us-east-1.amazonaws.com/1425062/p/2024-06-21T13_24_06-04_00.jpg", "View")</f>
        <v/>
      </c>
      <c r="F97" t="inlineStr">
        <is>
          <t>Celastrus orbiculatus</t>
        </is>
      </c>
      <c r="G97" t="inlineStr">
        <is>
          <t>Oriental Bittersweet</t>
        </is>
      </c>
      <c r="H97" t="n">
        <v>64540</v>
      </c>
      <c r="I97">
        <f>HYPERLINK("https://www.inaturalist.org/taxa/64540-Celastrus-orbiculatus", "View")</f>
        <v/>
      </c>
      <c r="J97" t="inlineStr">
        <is>
          <t>Celastrus orbiculatus</t>
        </is>
      </c>
      <c r="K97" t="inlineStr">
        <is>
          <t>Oriental bittersweet</t>
        </is>
      </c>
      <c r="L97" t="n">
        <v>64540</v>
      </c>
      <c r="M97" t="n">
        <v>95.48999999999999</v>
      </c>
      <c r="N97" t="n">
        <v>93.78</v>
      </c>
      <c r="O97" t="n">
        <v>1</v>
      </c>
      <c r="P97" t="inlineStr">
        <is>
          <t>Match</t>
        </is>
      </c>
      <c r="Q97" t="inlineStr">
        <is>
          <t>4</t>
        </is>
      </c>
      <c r="R97" t="n">
        <v>65.45</v>
      </c>
      <c r="S97" t="n">
        <v>33.65</v>
      </c>
      <c r="T97" t="inlineStr">
        <is>
          <t>Above</t>
        </is>
      </c>
      <c r="U97" t="inlineStr">
        <is>
          <t>Above</t>
        </is>
      </c>
      <c r="V97" t="inlineStr">
        <is>
          <t>Automatically confirmed</t>
        </is>
      </c>
    </row>
    <row r="98">
      <c r="A98" t="n">
        <v>68</v>
      </c>
      <c r="B98">
        <f>HYPERLINK("https://imapinvasives.natureserve.org/imap/services/page/Presence/1412327.html", "View")</f>
        <v/>
      </c>
      <c r="C98" t="n">
        <v>1412327</v>
      </c>
      <c r="D98" t="n">
        <v>1425048</v>
      </c>
      <c r="E98">
        <f>HYPERLINK("http://imap3images.s3-website-us-east-1.amazonaws.com/1425048/p/White_Sulpher_WC_Pond_1.jpg", "View")</f>
        <v/>
      </c>
      <c r="F98" t="inlineStr">
        <is>
          <t>Trapa natans</t>
        </is>
      </c>
      <c r="G98" t="inlineStr">
        <is>
          <t>Water Chestnut</t>
        </is>
      </c>
      <c r="H98" t="n">
        <v>169900</v>
      </c>
      <c r="I98" t="inlineStr">
        <is>
          <t>Unknown</t>
        </is>
      </c>
      <c r="J98" t="inlineStr">
        <is>
          <t>Unknown</t>
        </is>
      </c>
      <c r="K98" t="inlineStr">
        <is>
          <t>Unknown</t>
        </is>
      </c>
      <c r="L98" t="inlineStr">
        <is>
          <t>Unknown</t>
        </is>
      </c>
      <c r="M98" t="inlineStr">
        <is>
          <t>Unknown</t>
        </is>
      </c>
      <c r="N98" t="inlineStr">
        <is>
          <t>Unknown</t>
        </is>
      </c>
      <c r="O98" t="n">
        <v>0</v>
      </c>
      <c r="P98" t="inlineStr">
        <is>
          <t>Unmatch</t>
        </is>
      </c>
      <c r="Q98" t="inlineStr">
        <is>
          <t>4</t>
        </is>
      </c>
      <c r="R98" t="n">
        <v>77.62</v>
      </c>
      <c r="S98" t="n">
        <v>36.5</v>
      </c>
      <c r="T98" t="inlineStr">
        <is>
          <t>Below</t>
        </is>
      </c>
      <c r="U98" t="inlineStr">
        <is>
          <t>Below</t>
        </is>
      </c>
      <c r="V98" t="inlineStr">
        <is>
          <t>Manual review</t>
        </is>
      </c>
    </row>
    <row r="99">
      <c r="A99" t="n">
        <v>69</v>
      </c>
      <c r="B99">
        <f>HYPERLINK("https://imapinvasives.natureserve.org/imap/services/page/Presence/1413908.html", "View")</f>
        <v/>
      </c>
      <c r="C99" t="n">
        <v>1413908</v>
      </c>
      <c r="D99" t="n">
        <v>1427408</v>
      </c>
      <c r="E99">
        <f>HYPERLINK("http://imap3images.s3-website-us-east-1.amazonaws.com/1427408/p/20240625_141742.jpg", "View")</f>
        <v/>
      </c>
      <c r="F99" t="inlineStr">
        <is>
          <t>Trapa natans</t>
        </is>
      </c>
      <c r="G99" t="inlineStr">
        <is>
          <t>Water Chestnut</t>
        </is>
      </c>
      <c r="H99" t="n">
        <v>169900</v>
      </c>
      <c r="I99">
        <f>HYPERLINK("https://www.inaturalist.org/taxa/51119-Nymphaea-odorata", "View")</f>
        <v/>
      </c>
      <c r="J99" t="inlineStr">
        <is>
          <t>Nymphaea odorata</t>
        </is>
      </c>
      <c r="K99" t="inlineStr">
        <is>
          <t>American white waterlily</t>
        </is>
      </c>
      <c r="L99" t="n">
        <v>51119</v>
      </c>
      <c r="M99" t="n">
        <v>16.84</v>
      </c>
      <c r="N99" t="n">
        <v>59.79</v>
      </c>
      <c r="O99" t="n">
        <v>0</v>
      </c>
      <c r="P99" t="inlineStr">
        <is>
          <t>Unmatch</t>
        </is>
      </c>
      <c r="Q99" t="inlineStr">
        <is>
          <t>4</t>
        </is>
      </c>
      <c r="R99" t="n">
        <v>77.62</v>
      </c>
      <c r="S99" t="n">
        <v>36.5</v>
      </c>
      <c r="T99" t="inlineStr">
        <is>
          <t>Below</t>
        </is>
      </c>
      <c r="U99" t="inlineStr">
        <is>
          <t>Below</t>
        </is>
      </c>
      <c r="V99" t="inlineStr">
        <is>
          <t>Manual review</t>
        </is>
      </c>
    </row>
    <row r="100">
      <c r="A100" t="n">
        <v>70</v>
      </c>
      <c r="B100">
        <f>HYPERLINK("https://imapinvasives.natureserve.org/imap/services/page/Presence/1413910.html", "View")</f>
        <v/>
      </c>
      <c r="C100" t="n">
        <v>1413910</v>
      </c>
      <c r="D100" t="n">
        <v>1427410</v>
      </c>
      <c r="E100">
        <f>HYPERLINK("http://imap3images.s3-website-us-east-1.amazonaws.com/1427410/p/20240605_133548.jpg", "View")</f>
        <v/>
      </c>
      <c r="F100" t="inlineStr">
        <is>
          <t>Trapa natans</t>
        </is>
      </c>
      <c r="G100" t="inlineStr">
        <is>
          <t>Water Chestnut</t>
        </is>
      </c>
      <c r="H100" t="n">
        <v>169900</v>
      </c>
      <c r="I100">
        <f>HYPERLINK("https://www.inaturalist.org/taxa/54807-Fraxinus-nigra", "View")</f>
        <v/>
      </c>
      <c r="J100" t="inlineStr">
        <is>
          <t>Fraxinus nigra</t>
        </is>
      </c>
      <c r="K100" t="inlineStr">
        <is>
          <t>Black ash</t>
        </is>
      </c>
      <c r="L100" t="n">
        <v>54807</v>
      </c>
      <c r="M100" t="n">
        <v>13.15</v>
      </c>
      <c r="N100" t="n">
        <v>21.52</v>
      </c>
      <c r="O100" t="n">
        <v>0</v>
      </c>
      <c r="P100" t="inlineStr">
        <is>
          <t>Unmatch</t>
        </is>
      </c>
      <c r="Q100" t="inlineStr">
        <is>
          <t>4</t>
        </is>
      </c>
      <c r="R100" t="n">
        <v>77.62</v>
      </c>
      <c r="S100" t="n">
        <v>36.5</v>
      </c>
      <c r="T100" t="inlineStr">
        <is>
          <t>Below</t>
        </is>
      </c>
      <c r="U100" t="inlineStr">
        <is>
          <t>Below</t>
        </is>
      </c>
      <c r="V100" t="inlineStr">
        <is>
          <t>Manual review</t>
        </is>
      </c>
    </row>
    <row r="101">
      <c r="A101" t="n">
        <v>71</v>
      </c>
      <c r="B101">
        <f>HYPERLINK("https://imapinvasives.natureserve.org/imap/services/page/Presence/1414413.html", "View")</f>
        <v/>
      </c>
      <c r="C101" t="n">
        <v>1414413</v>
      </c>
      <c r="D101" t="n">
        <v>1427932</v>
      </c>
      <c r="E101">
        <f>HYPERLINK("http://imap3images.s3-website-us-east-1.amazonaws.com/1427932/p/HWA_Pic_1.jpeg", "View")</f>
        <v/>
      </c>
      <c r="F101" t="inlineStr">
        <is>
          <t>Adelges tsugae</t>
        </is>
      </c>
      <c r="G101" t="inlineStr">
        <is>
          <t>Hemlock Woolly Adelgid</t>
        </is>
      </c>
      <c r="H101" t="n">
        <v>61513</v>
      </c>
      <c r="I101">
        <f>HYPERLINK("https://www.inaturalist.org/taxa/61513-Adelges-tsugae", "View")</f>
        <v/>
      </c>
      <c r="J101" t="inlineStr">
        <is>
          <t>Adelges tsugae</t>
        </is>
      </c>
      <c r="K101" t="inlineStr">
        <is>
          <t>Hemlock woolly adelgid</t>
        </is>
      </c>
      <c r="L101" t="n">
        <v>61513</v>
      </c>
      <c r="M101" t="n">
        <v>13.86</v>
      </c>
      <c r="N101" t="n">
        <v>97.19</v>
      </c>
      <c r="O101" t="n">
        <v>1</v>
      </c>
      <c r="P101" t="inlineStr">
        <is>
          <t>Match</t>
        </is>
      </c>
      <c r="Q101" t="inlineStr">
        <is>
          <t>3</t>
        </is>
      </c>
      <c r="R101" t="n">
        <v>82.84999999999999</v>
      </c>
      <c r="S101" t="n">
        <v>21.26</v>
      </c>
      <c r="T101" t="inlineStr">
        <is>
          <t>Above</t>
        </is>
      </c>
      <c r="U101" t="inlineStr">
        <is>
          <t>Below</t>
        </is>
      </c>
      <c r="V101" t="inlineStr">
        <is>
          <t>Manual review</t>
        </is>
      </c>
    </row>
    <row r="102">
      <c r="A102" t="n">
        <v>72</v>
      </c>
      <c r="B102">
        <f>HYPERLINK("https://imapinvasives.natureserve.org/imap/services/page/Presence/1413907.html", "View")</f>
        <v/>
      </c>
      <c r="C102" t="n">
        <v>1413907</v>
      </c>
      <c r="D102" t="n">
        <v>1427407</v>
      </c>
      <c r="E102">
        <f>HYPERLINK("http://imap3images.s3-website-us-east-1.amazonaws.com/1427407/p/20240625_135340-EDIT.jpg", "View")</f>
        <v/>
      </c>
      <c r="F102" t="inlineStr">
        <is>
          <t>Trapa natans</t>
        </is>
      </c>
      <c r="G102" t="inlineStr">
        <is>
          <t>Water Chestnut</t>
        </is>
      </c>
      <c r="H102" t="n">
        <v>169900</v>
      </c>
      <c r="I102">
        <f>HYPERLINK("https://www.inaturalist.org/taxa/51119-Nymphaea-odorata", "View")</f>
        <v/>
      </c>
      <c r="J102" t="inlineStr">
        <is>
          <t>Nymphaea odorata</t>
        </is>
      </c>
      <c r="K102" t="inlineStr">
        <is>
          <t>American white waterlily</t>
        </is>
      </c>
      <c r="L102" t="n">
        <v>51119</v>
      </c>
      <c r="M102" t="n">
        <v>16.84</v>
      </c>
      <c r="N102" t="n">
        <v>39.92</v>
      </c>
      <c r="O102" t="n">
        <v>0</v>
      </c>
      <c r="P102" t="inlineStr">
        <is>
          <t>Unmatch</t>
        </is>
      </c>
      <c r="Q102" t="inlineStr">
        <is>
          <t>4</t>
        </is>
      </c>
      <c r="R102" t="n">
        <v>77.62</v>
      </c>
      <c r="S102" t="n">
        <v>36.5</v>
      </c>
      <c r="T102" t="inlineStr">
        <is>
          <t>Below</t>
        </is>
      </c>
      <c r="U102" t="inlineStr">
        <is>
          <t>Below</t>
        </is>
      </c>
      <c r="V102" t="inlineStr">
        <is>
          <t>Manual review</t>
        </is>
      </c>
    </row>
    <row r="103">
      <c r="A103" t="n">
        <v>73</v>
      </c>
      <c r="B103">
        <f>HYPERLINK("https://imapinvasives.natureserve.org/imap/services/page/Presence/1438087.html", "View")</f>
        <v/>
      </c>
      <c r="C103" t="n">
        <v>1438087</v>
      </c>
      <c r="D103" t="n">
        <v>1452330</v>
      </c>
      <c r="E103">
        <f>HYPERLINK("http://imap3images.s3-website-us-east-1.amazonaws.com/1452330/p/PXL_20240730_155044273.jpg", "View")</f>
        <v/>
      </c>
      <c r="F103" t="inlineStr">
        <is>
          <t>Reynoutria japonica var. japonica</t>
        </is>
      </c>
      <c r="G103" t="inlineStr">
        <is>
          <t>Japanese Knotweed</t>
        </is>
      </c>
      <c r="H103" t="n">
        <v>914922</v>
      </c>
      <c r="I103">
        <f>HYPERLINK("https://www.inaturalist.org/taxa/914922-Reynoutria-japonica", "View")</f>
        <v/>
      </c>
      <c r="J103" t="inlineStr">
        <is>
          <t>Reynoutria japonica</t>
        </is>
      </c>
      <c r="K103" t="inlineStr">
        <is>
          <t>Japanese knotweed</t>
        </is>
      </c>
      <c r="L103" t="n">
        <v>914922</v>
      </c>
      <c r="M103" t="n">
        <v>9.17</v>
      </c>
      <c r="N103" t="n">
        <v>95.53</v>
      </c>
      <c r="O103" t="n">
        <v>1</v>
      </c>
      <c r="P103" t="inlineStr">
        <is>
          <t>Match</t>
        </is>
      </c>
      <c r="Q103" t="inlineStr">
        <is>
          <t>nan</t>
        </is>
      </c>
      <c r="R103" t="n">
        <v>77.62</v>
      </c>
      <c r="S103" t="n">
        <v>36.5</v>
      </c>
      <c r="T103" t="inlineStr">
        <is>
          <t>Above</t>
        </is>
      </c>
      <c r="U103" t="inlineStr">
        <is>
          <t>Below</t>
        </is>
      </c>
      <c r="V103" t="inlineStr">
        <is>
          <t>Automatically confirmed</t>
        </is>
      </c>
    </row>
    <row r="104">
      <c r="A104" t="n">
        <v>74</v>
      </c>
      <c r="B104">
        <f>HYPERLINK("https://imapinvasives.natureserve.org/imap/services/page/Presence/1438089.html", "View")</f>
        <v/>
      </c>
      <c r="C104" t="n">
        <v>1438089</v>
      </c>
      <c r="D104" t="n">
        <v>1452332</v>
      </c>
      <c r="E104">
        <f>HYPERLINK("http://imap3images.s3-website-us-east-1.amazonaws.com/1452332/p/PXL_20240730_162307242.jpg", "View")</f>
        <v/>
      </c>
      <c r="F104" t="inlineStr">
        <is>
          <t>Rosa multiflora</t>
        </is>
      </c>
      <c r="G104" t="inlineStr">
        <is>
          <t>Multiflora Rose</t>
        </is>
      </c>
      <c r="H104" t="n">
        <v>78882</v>
      </c>
      <c r="I104">
        <f>HYPERLINK("https://www.inaturalist.org/taxa/84542-Vaccinium-angustifolium", "View")</f>
        <v/>
      </c>
      <c r="J104" t="inlineStr">
        <is>
          <t>Vaccinium angustifolium</t>
        </is>
      </c>
      <c r="K104" t="inlineStr">
        <is>
          <t>Lowbush blueberry</t>
        </is>
      </c>
      <c r="L104" t="n">
        <v>84542</v>
      </c>
      <c r="M104" t="n">
        <v>2.2</v>
      </c>
      <c r="N104" t="n">
        <v>34.57</v>
      </c>
      <c r="O104" t="n">
        <v>0</v>
      </c>
      <c r="P104" t="inlineStr">
        <is>
          <t>Unmatch</t>
        </is>
      </c>
      <c r="Q104" t="inlineStr">
        <is>
          <t>4</t>
        </is>
      </c>
      <c r="R104" t="n">
        <v>74.05</v>
      </c>
      <c r="S104" t="n">
        <v>41.31</v>
      </c>
      <c r="T104" t="inlineStr">
        <is>
          <t>Below</t>
        </is>
      </c>
      <c r="U104" t="inlineStr">
        <is>
          <t>Below</t>
        </is>
      </c>
      <c r="V104" t="inlineStr">
        <is>
          <t>Manual review</t>
        </is>
      </c>
    </row>
    <row r="105">
      <c r="A105" t="n">
        <v>75</v>
      </c>
      <c r="B105">
        <f>HYPERLINK("https://imapinvasives.natureserve.org/imap/services/page/Presence/1438090.html", "View")</f>
        <v/>
      </c>
      <c r="C105" t="n">
        <v>1438090</v>
      </c>
      <c r="D105" t="n">
        <v>1452333</v>
      </c>
      <c r="E105">
        <f>HYPERLINK("http://imap3images.s3-website-us-east-1.amazonaws.com/1452333/p/PXL_20240730_162603328.jpg", "View")</f>
        <v/>
      </c>
      <c r="F105" t="inlineStr">
        <is>
          <t>Reynoutria japonica var. japonica</t>
        </is>
      </c>
      <c r="G105" t="inlineStr">
        <is>
          <t>Japanese Knotweed</t>
        </is>
      </c>
      <c r="H105" t="n">
        <v>914922</v>
      </c>
      <c r="I105">
        <f>HYPERLINK("https://www.inaturalist.org/taxa/914922-Reynoutria-japonica", "View")</f>
        <v/>
      </c>
      <c r="J105" t="inlineStr">
        <is>
          <t>Reynoutria japonica</t>
        </is>
      </c>
      <c r="K105" t="inlineStr">
        <is>
          <t>Japanese knotweed</t>
        </is>
      </c>
      <c r="L105" t="n">
        <v>914922</v>
      </c>
      <c r="M105" t="n">
        <v>9.17</v>
      </c>
      <c r="N105" t="n">
        <v>99.08</v>
      </c>
      <c r="O105" t="n">
        <v>1</v>
      </c>
      <c r="P105" t="inlineStr">
        <is>
          <t>Match</t>
        </is>
      </c>
      <c r="Q105" t="inlineStr">
        <is>
          <t>nan</t>
        </is>
      </c>
      <c r="R105" t="n">
        <v>77.62</v>
      </c>
      <c r="S105" t="n">
        <v>36.5</v>
      </c>
      <c r="T105" t="inlineStr">
        <is>
          <t>Above</t>
        </is>
      </c>
      <c r="U105" t="inlineStr">
        <is>
          <t>Below</t>
        </is>
      </c>
      <c r="V105" t="inlineStr">
        <is>
          <t>Automatically confirmed</t>
        </is>
      </c>
    </row>
    <row r="106">
      <c r="A106" t="n">
        <v>76</v>
      </c>
      <c r="B106">
        <f>HYPERLINK("https://imapinvasives.natureserve.org/imap/services/page/Presence/1416694.html", "View")</f>
        <v/>
      </c>
      <c r="C106" t="n">
        <v>1416694</v>
      </c>
      <c r="D106" t="n">
        <v>1430232</v>
      </c>
      <c r="E106">
        <f>HYPERLINK("http://imap3images.s3-website-us-east-1.amazonaws.com/1430232/p/IMG_5235.jpg", "View")</f>
        <v/>
      </c>
      <c r="F106" t="inlineStr">
        <is>
          <t>Pyrus calleryana</t>
        </is>
      </c>
      <c r="G106" t="inlineStr">
        <is>
          <t>Bradford Pear</t>
        </is>
      </c>
      <c r="H106" t="n">
        <v>119793</v>
      </c>
      <c r="I106">
        <f>HYPERLINK("https://www.inaturalist.org/taxa/119793-Pyrus-calleryana", "View")</f>
        <v/>
      </c>
      <c r="J106" t="inlineStr">
        <is>
          <t>Pyrus calleryana</t>
        </is>
      </c>
      <c r="K106" t="inlineStr">
        <is>
          <t>Callery pear</t>
        </is>
      </c>
      <c r="L106" t="n">
        <v>119793</v>
      </c>
      <c r="M106" t="n">
        <v>7.07</v>
      </c>
      <c r="N106" t="n">
        <v>21.26</v>
      </c>
      <c r="O106" t="n">
        <v>1</v>
      </c>
      <c r="P106" t="inlineStr">
        <is>
          <t>Match</t>
        </is>
      </c>
      <c r="Q106" t="inlineStr">
        <is>
          <t>4</t>
        </is>
      </c>
      <c r="R106" t="n">
        <v>77.62</v>
      </c>
      <c r="S106" t="n">
        <v>36.5</v>
      </c>
      <c r="T106" t="inlineStr">
        <is>
          <t>Below</t>
        </is>
      </c>
      <c r="U106" t="inlineStr">
        <is>
          <t>Below</t>
        </is>
      </c>
      <c r="V106" t="inlineStr">
        <is>
          <t>Manual review</t>
        </is>
      </c>
    </row>
    <row r="107">
      <c r="A107" t="n">
        <v>77</v>
      </c>
      <c r="B107">
        <f>HYPERLINK("https://imapinvasives.natureserve.org/imap/services/page/Presence/1441578.html", "View")</f>
        <v/>
      </c>
      <c r="C107" t="n">
        <v>1441578</v>
      </c>
      <c r="D107" t="n">
        <v>1456037</v>
      </c>
      <c r="E107">
        <f>HYPERLINK("http://imap3images.s3-website-us-east-1.amazonaws.com/1456037/p/IMG_4423_aegopodium_podagraria_(2).JPG", "View")</f>
        <v/>
      </c>
      <c r="F107" t="inlineStr">
        <is>
          <t>Aegopodium podagraria</t>
        </is>
      </c>
      <c r="G107" t="inlineStr">
        <is>
          <t>Bishop's Goutweed</t>
        </is>
      </c>
      <c r="H107" t="n">
        <v>51741</v>
      </c>
      <c r="I107">
        <f>HYPERLINK("https://www.inaturalist.org/taxa/51741-Aegopodium-podagraria", "View")</f>
        <v/>
      </c>
      <c r="J107" t="inlineStr">
        <is>
          <t>Aegopodium podagraria</t>
        </is>
      </c>
      <c r="K107" t="inlineStr">
        <is>
          <t>Goutweed</t>
        </is>
      </c>
      <c r="L107" t="n">
        <v>51741</v>
      </c>
      <c r="M107" t="n">
        <v>16.88</v>
      </c>
      <c r="N107" t="n">
        <v>62.32</v>
      </c>
      <c r="O107" t="n">
        <v>1</v>
      </c>
      <c r="P107" t="inlineStr">
        <is>
          <t>Match</t>
        </is>
      </c>
      <c r="Q107" t="inlineStr">
        <is>
          <t>4</t>
        </is>
      </c>
      <c r="R107" t="n">
        <v>77.62</v>
      </c>
      <c r="S107" t="n">
        <v>36.5</v>
      </c>
      <c r="T107" t="inlineStr">
        <is>
          <t>Below</t>
        </is>
      </c>
      <c r="U107" t="inlineStr">
        <is>
          <t>Below</t>
        </is>
      </c>
      <c r="V107" t="inlineStr">
        <is>
          <t>Manual review</t>
        </is>
      </c>
    </row>
    <row r="108">
      <c r="A108" t="n">
        <v>78</v>
      </c>
      <c r="B108">
        <f>HYPERLINK("https://imapinvasives.natureserve.org/imap/services/page/Presence/1443662.html", "View")</f>
        <v/>
      </c>
      <c r="C108" t="n">
        <v>1443662</v>
      </c>
      <c r="D108" t="n">
        <v>1458306</v>
      </c>
      <c r="E108">
        <f>HYPERLINK("http://imap3images.s3-website-us-east-1.amazonaws.com/1458306/p/IMG_20230426_105559.jpg", "View")</f>
        <v/>
      </c>
      <c r="F108" t="inlineStr">
        <is>
          <t>Alliaria petiolata</t>
        </is>
      </c>
      <c r="G108" t="inlineStr">
        <is>
          <t>Garlic Mustard</t>
        </is>
      </c>
      <c r="H108" t="n">
        <v>56061</v>
      </c>
      <c r="I108">
        <f>HYPERLINK("https://www.inaturalist.org/taxa/56061-Alliaria-petiolata", "View")</f>
        <v/>
      </c>
      <c r="J108" t="inlineStr">
        <is>
          <t>Alliaria petiolata</t>
        </is>
      </c>
      <c r="K108" t="inlineStr">
        <is>
          <t>Garlic mustard</t>
        </is>
      </c>
      <c r="L108" t="n">
        <v>56061</v>
      </c>
      <c r="M108" t="n">
        <v>92.11</v>
      </c>
      <c r="N108" t="n">
        <v>99.83</v>
      </c>
      <c r="O108" t="n">
        <v>1</v>
      </c>
      <c r="P108" t="inlineStr">
        <is>
          <t>Match</t>
        </is>
      </c>
      <c r="Q108" t="inlineStr">
        <is>
          <t>4</t>
        </is>
      </c>
      <c r="R108" t="n">
        <v>88.91</v>
      </c>
      <c r="S108" t="n">
        <v>39.89</v>
      </c>
      <c r="T108" t="inlineStr">
        <is>
          <t>Above</t>
        </is>
      </c>
      <c r="U108" t="inlineStr">
        <is>
          <t>Above</t>
        </is>
      </c>
      <c r="V108" t="inlineStr">
        <is>
          <t>Automatically confirmed</t>
        </is>
      </c>
    </row>
    <row r="109">
      <c r="A109" t="n">
        <v>78</v>
      </c>
      <c r="B109">
        <f>HYPERLINK("https://imapinvasives.natureserve.org/imap/services/page/Presence/1443662.html", "View")</f>
        <v/>
      </c>
      <c r="C109" t="n">
        <v>1443662</v>
      </c>
      <c r="D109" t="n">
        <v>1458309</v>
      </c>
      <c r="E109">
        <f>HYPERLINK("http://imap3images.s3-website-us-east-1.amazonaws.com/1458309/p/IMG_20230629_100223.jpg", "View")</f>
        <v/>
      </c>
      <c r="F109" t="inlineStr">
        <is>
          <t>Cichorium intybus</t>
        </is>
      </c>
      <c r="G109" t="inlineStr">
        <is>
          <t>Chicory</t>
        </is>
      </c>
      <c r="H109" t="n">
        <v>52913</v>
      </c>
      <c r="I109">
        <f>HYPERLINK("https://www.inaturalist.org/taxa/52913-Cichorium-intybus", "View")</f>
        <v/>
      </c>
      <c r="J109" t="inlineStr">
        <is>
          <t>Cichorium intybus</t>
        </is>
      </c>
      <c r="K109" t="inlineStr">
        <is>
          <t>Chicory</t>
        </is>
      </c>
      <c r="L109" t="n">
        <v>52913</v>
      </c>
      <c r="M109" t="n">
        <v>70.86</v>
      </c>
      <c r="N109" t="n">
        <v>99.88</v>
      </c>
      <c r="O109" t="n">
        <v>1</v>
      </c>
      <c r="P109" t="inlineStr">
        <is>
          <t>Match</t>
        </is>
      </c>
      <c r="Q109" t="inlineStr">
        <is>
          <t>nan</t>
        </is>
      </c>
      <c r="R109" t="n">
        <v>77.62</v>
      </c>
      <c r="S109" t="n">
        <v>36.5</v>
      </c>
      <c r="T109" t="inlineStr">
        <is>
          <t>Above</t>
        </is>
      </c>
      <c r="U109" t="inlineStr">
        <is>
          <t>Above</t>
        </is>
      </c>
      <c r="V109" t="inlineStr">
        <is>
          <t>Automatically confirmed</t>
        </is>
      </c>
    </row>
    <row r="110">
      <c r="A110" t="n">
        <v>78</v>
      </c>
      <c r="B110">
        <f>HYPERLINK("https://imapinvasives.natureserve.org/imap/services/page/Presence/1443662.html", "View")</f>
        <v/>
      </c>
      <c r="C110" t="n">
        <v>1443662</v>
      </c>
      <c r="D110" t="n">
        <v>1458302</v>
      </c>
      <c r="E110">
        <f>HYPERLINK("http://imap3images.s3-website-us-east-1.amazonaws.com/1458302/p/IMG_20240626_105125.jpg", "View")</f>
        <v/>
      </c>
      <c r="F110" t="inlineStr">
        <is>
          <t>Lymantria dispar</t>
        </is>
      </c>
      <c r="G110" t="inlineStr">
        <is>
          <t>Spongy Moth</t>
        </is>
      </c>
      <c r="H110" t="n">
        <v>47802</v>
      </c>
      <c r="I110">
        <f>HYPERLINK("https://www.inaturalist.org/taxa/47802-Lymantria-dispar", "View")</f>
        <v/>
      </c>
      <c r="J110" t="inlineStr">
        <is>
          <t>Lymantria dispar</t>
        </is>
      </c>
      <c r="K110" t="inlineStr">
        <is>
          <t>Spongy moth</t>
        </is>
      </c>
      <c r="L110" t="n">
        <v>47802</v>
      </c>
      <c r="M110" t="n">
        <v>77.45</v>
      </c>
      <c r="N110" t="n">
        <v>98.40000000000001</v>
      </c>
      <c r="O110" t="n">
        <v>1</v>
      </c>
      <c r="P110" t="inlineStr">
        <is>
          <t>Match</t>
        </is>
      </c>
      <c r="Q110" t="inlineStr">
        <is>
          <t>4</t>
        </is>
      </c>
      <c r="R110" t="n">
        <v>77.62</v>
      </c>
      <c r="S110" t="n">
        <v>36.5</v>
      </c>
      <c r="T110" t="inlineStr">
        <is>
          <t>Above</t>
        </is>
      </c>
      <c r="U110" t="inlineStr">
        <is>
          <t>Above</t>
        </is>
      </c>
      <c r="V110" t="inlineStr">
        <is>
          <t>Automatically confirmed</t>
        </is>
      </c>
    </row>
    <row r="111">
      <c r="A111" t="n">
        <v>78</v>
      </c>
      <c r="B111">
        <f>HYPERLINK("https://imapinvasives.natureserve.org/imap/services/page/Presence/1443662.html", "View")</f>
        <v/>
      </c>
      <c r="C111" t="n">
        <v>1443662</v>
      </c>
      <c r="D111" t="n">
        <v>1458297</v>
      </c>
      <c r="E111">
        <f>HYPERLINK("http://imap3images.s3-website-us-east-1.amazonaws.com/1458297/p/IMG_20240418_135810.jpg", "View")</f>
        <v/>
      </c>
      <c r="F111" t="inlineStr">
        <is>
          <t>Pyrus calleryana</t>
        </is>
      </c>
      <c r="G111" t="inlineStr">
        <is>
          <t>Bradford Pear</t>
        </is>
      </c>
      <c r="H111" t="n">
        <v>119793</v>
      </c>
      <c r="I111">
        <f>HYPERLINK("https://www.inaturalist.org/taxa/119793-Pyrus-calleryana", "View")</f>
        <v/>
      </c>
      <c r="J111" t="inlineStr">
        <is>
          <t>Pyrus calleryana</t>
        </is>
      </c>
      <c r="K111" t="inlineStr">
        <is>
          <t>Callery pear</t>
        </is>
      </c>
      <c r="L111" t="n">
        <v>119793</v>
      </c>
      <c r="M111" t="n">
        <v>34.14</v>
      </c>
      <c r="N111" t="n">
        <v>99.59</v>
      </c>
      <c r="O111" t="n">
        <v>1</v>
      </c>
      <c r="P111" t="inlineStr">
        <is>
          <t>Match</t>
        </is>
      </c>
      <c r="Q111" t="inlineStr">
        <is>
          <t>4</t>
        </is>
      </c>
      <c r="R111" t="n">
        <v>77.62</v>
      </c>
      <c r="S111" t="n">
        <v>36.5</v>
      </c>
      <c r="T111" t="inlineStr">
        <is>
          <t>Above</t>
        </is>
      </c>
      <c r="U111" t="inlineStr">
        <is>
          <t>Below</t>
        </is>
      </c>
      <c r="V111" t="inlineStr">
        <is>
          <t>Automatically confirmed</t>
        </is>
      </c>
    </row>
    <row r="112">
      <c r="A112" t="n">
        <v>78</v>
      </c>
      <c r="B112">
        <f>HYPERLINK("https://imapinvasives.natureserve.org/imap/services/page/Presence/1443662.html", "View")</f>
        <v/>
      </c>
      <c r="C112" t="n">
        <v>1443662</v>
      </c>
      <c r="D112" t="n">
        <v>1458304</v>
      </c>
      <c r="E112">
        <f>HYPERLINK("http://imap3images.s3-website-us-east-1.amazonaws.com/1458304/p/IMG_20230807_131244.jpg", "View")</f>
        <v/>
      </c>
      <c r="F112" t="inlineStr">
        <is>
          <t>Daucus carota</t>
        </is>
      </c>
      <c r="G112" t="inlineStr">
        <is>
          <t>Wild Carrot</t>
        </is>
      </c>
      <c r="H112" t="n">
        <v>76610</v>
      </c>
      <c r="I112">
        <f>HYPERLINK("https://www.inaturalist.org/taxa/76610-Daucus-carota", "View")</f>
        <v/>
      </c>
      <c r="J112" t="inlineStr">
        <is>
          <t>Daucus carota</t>
        </is>
      </c>
      <c r="K112" t="inlineStr">
        <is>
          <t>Wild carrot</t>
        </is>
      </c>
      <c r="L112" t="n">
        <v>76610</v>
      </c>
      <c r="M112" t="n">
        <v>79.8</v>
      </c>
      <c r="N112" t="n">
        <v>99.63</v>
      </c>
      <c r="O112" t="n">
        <v>1</v>
      </c>
      <c r="P112" t="inlineStr">
        <is>
          <t>Match</t>
        </is>
      </c>
      <c r="Q112" t="inlineStr">
        <is>
          <t>nan</t>
        </is>
      </c>
      <c r="R112" t="n">
        <v>77.62</v>
      </c>
      <c r="S112" t="n">
        <v>36.5</v>
      </c>
      <c r="T112" t="inlineStr">
        <is>
          <t>Above</t>
        </is>
      </c>
      <c r="U112" t="inlineStr">
        <is>
          <t>Above</t>
        </is>
      </c>
      <c r="V112" t="inlineStr">
        <is>
          <t>Automatically confirmed</t>
        </is>
      </c>
    </row>
    <row r="113">
      <c r="A113" t="n">
        <v>78</v>
      </c>
      <c r="B113">
        <f>HYPERLINK("https://imapinvasives.natureserve.org/imap/services/page/Presence/1443662.html", "View")</f>
        <v/>
      </c>
      <c r="C113" t="n">
        <v>1443662</v>
      </c>
      <c r="D113" t="n">
        <v>1458296</v>
      </c>
      <c r="E113">
        <f>HYPERLINK("http://imap3images.s3-website-us-east-1.amazonaws.com/1458296/p/IMG_20230424_131502.jpg", "View")</f>
        <v/>
      </c>
      <c r="F113" t="inlineStr">
        <is>
          <t>Euphorbia virgata</t>
        </is>
      </c>
      <c r="G113" t="inlineStr">
        <is>
          <t>Leafy Spurge</t>
        </is>
      </c>
      <c r="H113" t="n">
        <v>77120</v>
      </c>
      <c r="I113">
        <f>HYPERLINK("https://www.inaturalist.org/taxa/77120-Euphorbia-virgata", "View")</f>
        <v/>
      </c>
      <c r="J113" t="inlineStr">
        <is>
          <t>Euphorbia virgata</t>
        </is>
      </c>
      <c r="K113" t="inlineStr">
        <is>
          <t>Slender leafy spurge</t>
        </is>
      </c>
      <c r="L113" t="n">
        <v>77120</v>
      </c>
      <c r="M113" t="n">
        <v>4</v>
      </c>
      <c r="N113" t="n">
        <v>49.34</v>
      </c>
      <c r="O113" t="n">
        <v>1</v>
      </c>
      <c r="P113" t="inlineStr">
        <is>
          <t>Match</t>
        </is>
      </c>
      <c r="Q113" t="inlineStr">
        <is>
          <t>nan</t>
        </is>
      </c>
      <c r="R113" t="n">
        <v>77.62</v>
      </c>
      <c r="S113" t="n">
        <v>36.5</v>
      </c>
      <c r="T113" t="inlineStr">
        <is>
          <t>Below</t>
        </is>
      </c>
      <c r="U113" t="inlineStr">
        <is>
          <t>Below</t>
        </is>
      </c>
      <c r="V113" t="inlineStr">
        <is>
          <t>Manual review</t>
        </is>
      </c>
    </row>
    <row r="114">
      <c r="A114" t="n">
        <v>78</v>
      </c>
      <c r="B114">
        <f>HYPERLINK("https://imapinvasives.natureserve.org/imap/services/page/Presence/1443662.html", "View")</f>
        <v/>
      </c>
      <c r="C114" t="n">
        <v>1443662</v>
      </c>
      <c r="D114" t="n">
        <v>1458307</v>
      </c>
      <c r="E114">
        <f>HYPERLINK("http://imap3images.s3-website-us-east-1.amazonaws.com/1458307/p/IMG_20230529_115945.jpg", "View")</f>
        <v/>
      </c>
      <c r="F114" t="inlineStr">
        <is>
          <t>Galium odoratum</t>
        </is>
      </c>
      <c r="G114" t="inlineStr">
        <is>
          <t>Sweet Bedstraw</t>
        </is>
      </c>
      <c r="H114" t="n">
        <v>56065</v>
      </c>
      <c r="I114">
        <f>HYPERLINK("https://www.inaturalist.org/taxa/77206-Galium-mollugo", "View")</f>
        <v/>
      </c>
      <c r="J114" t="inlineStr">
        <is>
          <t>Galium mollugo</t>
        </is>
      </c>
      <c r="K114" t="inlineStr">
        <is>
          <t>Hedge bedstraw</t>
        </is>
      </c>
      <c r="L114" t="n">
        <v>77206</v>
      </c>
      <c r="M114" t="n">
        <v>29.55</v>
      </c>
      <c r="N114" t="n">
        <v>91.95999999999999</v>
      </c>
      <c r="O114" t="n">
        <v>0</v>
      </c>
      <c r="P114" t="inlineStr">
        <is>
          <t>Unmatch</t>
        </is>
      </c>
      <c r="Q114" t="inlineStr">
        <is>
          <t>4</t>
        </is>
      </c>
      <c r="R114" t="n">
        <v>77.62</v>
      </c>
      <c r="S114" t="n">
        <v>36.5</v>
      </c>
      <c r="T114" t="inlineStr">
        <is>
          <t>Above</t>
        </is>
      </c>
      <c r="U114" t="inlineStr">
        <is>
          <t>Below</t>
        </is>
      </c>
      <c r="V114" t="inlineStr">
        <is>
          <t>Manual review</t>
        </is>
      </c>
    </row>
    <row r="115">
      <c r="A115" t="n">
        <v>78</v>
      </c>
      <c r="B115">
        <f>HYPERLINK("https://imapinvasives.natureserve.org/imap/services/page/Presence/1443662.html", "View")</f>
        <v/>
      </c>
      <c r="C115" t="n">
        <v>1443662</v>
      </c>
      <c r="D115" t="n">
        <v>1458299</v>
      </c>
      <c r="E115" t="inlineStr">
        <is>
          <t>No Photo</t>
        </is>
      </c>
      <c r="F115" t="inlineStr">
        <is>
          <t>Glechoma hederacea</t>
        </is>
      </c>
      <c r="G115" t="inlineStr">
        <is>
          <t>Ground-ivy</t>
        </is>
      </c>
      <c r="H115" t="n">
        <v>55830</v>
      </c>
      <c r="I115" t="inlineStr">
        <is>
          <t>Unknown</t>
        </is>
      </c>
      <c r="J115" t="inlineStr">
        <is>
          <t>Unknown</t>
        </is>
      </c>
      <c r="K115" t="inlineStr">
        <is>
          <t>Unknown</t>
        </is>
      </c>
      <c r="L115" t="inlineStr">
        <is>
          <t>Unknown</t>
        </is>
      </c>
      <c r="M115" t="inlineStr">
        <is>
          <t>Unknown</t>
        </is>
      </c>
      <c r="N115" t="inlineStr">
        <is>
          <t>Unknown</t>
        </is>
      </c>
      <c r="O115" t="n">
        <v>0</v>
      </c>
      <c r="P115" t="inlineStr">
        <is>
          <t>Unmatch</t>
        </is>
      </c>
      <c r="Q115" t="inlineStr">
        <is>
          <t>nan</t>
        </is>
      </c>
      <c r="R115" t="n">
        <v>77.62</v>
      </c>
      <c r="S115" t="n">
        <v>36.5</v>
      </c>
      <c r="T115" t="inlineStr">
        <is>
          <t>Below</t>
        </is>
      </c>
      <c r="U115" t="inlineStr">
        <is>
          <t>Below</t>
        </is>
      </c>
      <c r="V115" t="inlineStr">
        <is>
          <t>Manual review</t>
        </is>
      </c>
    </row>
    <row r="116">
      <c r="A116" t="n">
        <v>78</v>
      </c>
      <c r="B116">
        <f>HYPERLINK("https://imapinvasives.natureserve.org/imap/services/page/Presence/1443662.html", "View")</f>
        <v/>
      </c>
      <c r="C116" t="n">
        <v>1443662</v>
      </c>
      <c r="D116" t="n">
        <v>1458300</v>
      </c>
      <c r="E116" t="inlineStr">
        <is>
          <t>No Photo</t>
        </is>
      </c>
      <c r="F116" t="inlineStr">
        <is>
          <t>Hedera helix</t>
        </is>
      </c>
      <c r="G116" t="inlineStr">
        <is>
          <t>English Ivy</t>
        </is>
      </c>
      <c r="H116" t="n">
        <v>55882</v>
      </c>
      <c r="I116" t="inlineStr">
        <is>
          <t>Unknown</t>
        </is>
      </c>
      <c r="J116" t="inlineStr">
        <is>
          <t>Unknown</t>
        </is>
      </c>
      <c r="K116" t="inlineStr">
        <is>
          <t>Unknown</t>
        </is>
      </c>
      <c r="L116" t="inlineStr">
        <is>
          <t>Unknown</t>
        </is>
      </c>
      <c r="M116" t="inlineStr">
        <is>
          <t>Unknown</t>
        </is>
      </c>
      <c r="N116" t="inlineStr">
        <is>
          <t>Unknown</t>
        </is>
      </c>
      <c r="O116" t="n">
        <v>0</v>
      </c>
      <c r="P116" t="inlineStr">
        <is>
          <t>Unmatch</t>
        </is>
      </c>
      <c r="Q116" t="inlineStr">
        <is>
          <t>nan</t>
        </is>
      </c>
      <c r="R116" t="n">
        <v>77.62</v>
      </c>
      <c r="S116" t="n">
        <v>36.5</v>
      </c>
      <c r="T116" t="inlineStr">
        <is>
          <t>Below</t>
        </is>
      </c>
      <c r="U116" t="inlineStr">
        <is>
          <t>Below</t>
        </is>
      </c>
      <c r="V116" t="inlineStr">
        <is>
          <t>Manual review</t>
        </is>
      </c>
    </row>
    <row r="117">
      <c r="A117" t="n">
        <v>78</v>
      </c>
      <c r="B117">
        <f>HYPERLINK("https://imapinvasives.natureserve.org/imap/services/page/Presence/1443662.html", "View")</f>
        <v/>
      </c>
      <c r="C117" t="n">
        <v>1443662</v>
      </c>
      <c r="D117" t="n">
        <v>1458311</v>
      </c>
      <c r="E117" t="inlineStr">
        <is>
          <t>No Photo</t>
        </is>
      </c>
      <c r="F117" t="inlineStr">
        <is>
          <t>Lonicera morrowii</t>
        </is>
      </c>
      <c r="G117" t="inlineStr">
        <is>
          <t>Morrow's Honeysuckle</t>
        </is>
      </c>
      <c r="H117" t="n">
        <v>59773</v>
      </c>
      <c r="I117" t="inlineStr">
        <is>
          <t>Unknown</t>
        </is>
      </c>
      <c r="J117" t="inlineStr">
        <is>
          <t>Unknown</t>
        </is>
      </c>
      <c r="K117" t="inlineStr">
        <is>
          <t>Unknown</t>
        </is>
      </c>
      <c r="L117" t="inlineStr">
        <is>
          <t>Unknown</t>
        </is>
      </c>
      <c r="M117" t="inlineStr">
        <is>
          <t>Unknown</t>
        </is>
      </c>
      <c r="N117" t="inlineStr">
        <is>
          <t>Unknown</t>
        </is>
      </c>
      <c r="O117" t="n">
        <v>0</v>
      </c>
      <c r="P117" t="inlineStr">
        <is>
          <t>Unmatch</t>
        </is>
      </c>
      <c r="Q117" t="inlineStr">
        <is>
          <t>4</t>
        </is>
      </c>
      <c r="R117" t="n">
        <v>77.62</v>
      </c>
      <c r="S117" t="n">
        <v>36.5</v>
      </c>
      <c r="T117" t="inlineStr">
        <is>
          <t>Below</t>
        </is>
      </c>
      <c r="U117" t="inlineStr">
        <is>
          <t>Below</t>
        </is>
      </c>
      <c r="V117" t="inlineStr">
        <is>
          <t>Manual review</t>
        </is>
      </c>
    </row>
    <row r="118">
      <c r="A118" t="n">
        <v>78</v>
      </c>
      <c r="B118">
        <f>HYPERLINK("https://imapinvasives.natureserve.org/imap/services/page/Presence/1443662.html", "View")</f>
        <v/>
      </c>
      <c r="C118" t="n">
        <v>1443662</v>
      </c>
      <c r="D118" t="n">
        <v>1458303</v>
      </c>
      <c r="E118" t="inlineStr">
        <is>
          <t>No Photo</t>
        </is>
      </c>
      <c r="F118" t="inlineStr">
        <is>
          <t>Lotus corniculatus</t>
        </is>
      </c>
      <c r="G118" t="inlineStr">
        <is>
          <t>Garden Bird's-foot-trefoil</t>
        </is>
      </c>
      <c r="H118" t="n">
        <v>47435</v>
      </c>
      <c r="I118" t="inlineStr">
        <is>
          <t>Unknown</t>
        </is>
      </c>
      <c r="J118" t="inlineStr">
        <is>
          <t>Unknown</t>
        </is>
      </c>
      <c r="K118" t="inlineStr">
        <is>
          <t>Unknown</t>
        </is>
      </c>
      <c r="L118" t="inlineStr">
        <is>
          <t>Unknown</t>
        </is>
      </c>
      <c r="M118" t="inlineStr">
        <is>
          <t>Unknown</t>
        </is>
      </c>
      <c r="N118" t="inlineStr">
        <is>
          <t>Unknown</t>
        </is>
      </c>
      <c r="O118" t="n">
        <v>0</v>
      </c>
      <c r="P118" t="inlineStr">
        <is>
          <t>Unmatch</t>
        </is>
      </c>
      <c r="Q118" t="inlineStr">
        <is>
          <t>nan</t>
        </is>
      </c>
      <c r="R118" t="n">
        <v>77.62</v>
      </c>
      <c r="S118" t="n">
        <v>36.5</v>
      </c>
      <c r="T118" t="inlineStr">
        <is>
          <t>Below</t>
        </is>
      </c>
      <c r="U118" t="inlineStr">
        <is>
          <t>Below</t>
        </is>
      </c>
      <c r="V118" t="inlineStr">
        <is>
          <t>Manual review</t>
        </is>
      </c>
    </row>
    <row r="119">
      <c r="A119" t="n">
        <v>78</v>
      </c>
      <c r="B119">
        <f>HYPERLINK("https://imapinvasives.natureserve.org/imap/services/page/Presence/1443662.html", "View")</f>
        <v/>
      </c>
      <c r="C119" t="n">
        <v>1443662</v>
      </c>
      <c r="D119" t="n">
        <v>1458295</v>
      </c>
      <c r="E119" t="inlineStr">
        <is>
          <t>No Photo</t>
        </is>
      </c>
      <c r="F119" t="inlineStr">
        <is>
          <t>Lythrum salicaria</t>
        </is>
      </c>
      <c r="G119" t="inlineStr">
        <is>
          <t>Purple Loosestrife</t>
        </is>
      </c>
      <c r="H119" t="n">
        <v>61321</v>
      </c>
      <c r="I119" t="inlineStr">
        <is>
          <t>Unknown</t>
        </is>
      </c>
      <c r="J119" t="inlineStr">
        <is>
          <t>Unknown</t>
        </is>
      </c>
      <c r="K119" t="inlineStr">
        <is>
          <t>Unknown</t>
        </is>
      </c>
      <c r="L119" t="inlineStr">
        <is>
          <t>Unknown</t>
        </is>
      </c>
      <c r="M119" t="inlineStr">
        <is>
          <t>Unknown</t>
        </is>
      </c>
      <c r="N119" t="inlineStr">
        <is>
          <t>Unknown</t>
        </is>
      </c>
      <c r="O119" t="n">
        <v>0</v>
      </c>
      <c r="P119" t="inlineStr">
        <is>
          <t>Unmatch</t>
        </is>
      </c>
      <c r="Q119" t="inlineStr">
        <is>
          <t>4</t>
        </is>
      </c>
      <c r="R119" t="n">
        <v>89.08</v>
      </c>
      <c r="S119" t="n">
        <v>38.21</v>
      </c>
      <c r="T119" t="inlineStr">
        <is>
          <t>Below</t>
        </is>
      </c>
      <c r="U119" t="inlineStr">
        <is>
          <t>Below</t>
        </is>
      </c>
      <c r="V119" t="inlineStr">
        <is>
          <t>Manual review</t>
        </is>
      </c>
    </row>
    <row r="120">
      <c r="A120" t="n">
        <v>78</v>
      </c>
      <c r="B120">
        <f>HYPERLINK("https://imapinvasives.natureserve.org/imap/services/page/Presence/1443662.html", "View")</f>
        <v/>
      </c>
      <c r="C120" t="n">
        <v>1443662</v>
      </c>
      <c r="D120" t="n">
        <v>1458310</v>
      </c>
      <c r="E120" t="inlineStr">
        <is>
          <t>No Photo</t>
        </is>
      </c>
      <c r="F120" t="inlineStr">
        <is>
          <t>Reynoutria japonica var. japonica</t>
        </is>
      </c>
      <c r="G120" t="inlineStr">
        <is>
          <t>Japanese Knotweed</t>
        </is>
      </c>
      <c r="H120" t="n">
        <v>914922</v>
      </c>
      <c r="I120" t="inlineStr">
        <is>
          <t>Unknown</t>
        </is>
      </c>
      <c r="J120" t="inlineStr">
        <is>
          <t>Unknown</t>
        </is>
      </c>
      <c r="K120" t="inlineStr">
        <is>
          <t>Unknown</t>
        </is>
      </c>
      <c r="L120" t="inlineStr">
        <is>
          <t>Unknown</t>
        </is>
      </c>
      <c r="M120" t="inlineStr">
        <is>
          <t>Unknown</t>
        </is>
      </c>
      <c r="N120" t="inlineStr">
        <is>
          <t>Unknown</t>
        </is>
      </c>
      <c r="O120" t="n">
        <v>0</v>
      </c>
      <c r="P120" t="inlineStr">
        <is>
          <t>Unmatch</t>
        </is>
      </c>
      <c r="Q120" t="inlineStr">
        <is>
          <t>nan</t>
        </is>
      </c>
      <c r="R120" t="n">
        <v>77.62</v>
      </c>
      <c r="S120" t="n">
        <v>36.5</v>
      </c>
      <c r="T120" t="inlineStr">
        <is>
          <t>Below</t>
        </is>
      </c>
      <c r="U120" t="inlineStr">
        <is>
          <t>Below</t>
        </is>
      </c>
      <c r="V120" t="inlineStr">
        <is>
          <t>Manual review</t>
        </is>
      </c>
    </row>
    <row r="121">
      <c r="A121" t="n">
        <v>78</v>
      </c>
      <c r="B121">
        <f>HYPERLINK("https://imapinvasives.natureserve.org/imap/services/page/Presence/1443662.html", "View")</f>
        <v/>
      </c>
      <c r="C121" t="n">
        <v>1443662</v>
      </c>
      <c r="D121" t="n">
        <v>1458312</v>
      </c>
      <c r="E121" t="inlineStr">
        <is>
          <t>No Photo</t>
        </is>
      </c>
      <c r="F121" t="inlineStr">
        <is>
          <t>Rosa multiflora</t>
        </is>
      </c>
      <c r="G121" t="inlineStr">
        <is>
          <t>Multiflora Rose</t>
        </is>
      </c>
      <c r="H121" t="n">
        <v>78882</v>
      </c>
      <c r="I121" t="inlineStr">
        <is>
          <t>Unknown</t>
        </is>
      </c>
      <c r="J121" t="inlineStr">
        <is>
          <t>Unknown</t>
        </is>
      </c>
      <c r="K121" t="inlineStr">
        <is>
          <t>Unknown</t>
        </is>
      </c>
      <c r="L121" t="inlineStr">
        <is>
          <t>Unknown</t>
        </is>
      </c>
      <c r="M121" t="inlineStr">
        <is>
          <t>Unknown</t>
        </is>
      </c>
      <c r="N121" t="inlineStr">
        <is>
          <t>Unknown</t>
        </is>
      </c>
      <c r="O121" t="n">
        <v>0</v>
      </c>
      <c r="P121" t="inlineStr">
        <is>
          <t>Unmatch</t>
        </is>
      </c>
      <c r="Q121" t="inlineStr">
        <is>
          <t>4</t>
        </is>
      </c>
      <c r="R121" t="n">
        <v>74.05</v>
      </c>
      <c r="S121" t="n">
        <v>41.31</v>
      </c>
      <c r="T121" t="inlineStr">
        <is>
          <t>Below</t>
        </is>
      </c>
      <c r="U121" t="inlineStr">
        <is>
          <t>Below</t>
        </is>
      </c>
      <c r="V121" t="inlineStr">
        <is>
          <t>Manual review</t>
        </is>
      </c>
    </row>
    <row r="122">
      <c r="A122" t="n">
        <v>78</v>
      </c>
      <c r="B122">
        <f>HYPERLINK("https://imapinvasives.natureserve.org/imap/services/page/Presence/1443662.html", "View")</f>
        <v/>
      </c>
      <c r="C122" t="n">
        <v>1443662</v>
      </c>
      <c r="D122" t="n">
        <v>1458298</v>
      </c>
      <c r="E122" t="inlineStr">
        <is>
          <t>No Photo</t>
        </is>
      </c>
      <c r="F122" t="inlineStr">
        <is>
          <t>Trifolium repens</t>
        </is>
      </c>
      <c r="G122" t="inlineStr">
        <is>
          <t>White Clover</t>
        </is>
      </c>
      <c r="H122" t="n">
        <v>55745</v>
      </c>
      <c r="I122" t="inlineStr">
        <is>
          <t>Unknown</t>
        </is>
      </c>
      <c r="J122" t="inlineStr">
        <is>
          <t>Unknown</t>
        </is>
      </c>
      <c r="K122" t="inlineStr">
        <is>
          <t>Unknown</t>
        </is>
      </c>
      <c r="L122" t="inlineStr">
        <is>
          <t>Unknown</t>
        </is>
      </c>
      <c r="M122" t="inlineStr">
        <is>
          <t>Unknown</t>
        </is>
      </c>
      <c r="N122" t="inlineStr">
        <is>
          <t>Unknown</t>
        </is>
      </c>
      <c r="O122" t="n">
        <v>0</v>
      </c>
      <c r="P122" t="inlineStr">
        <is>
          <t>Unmatch</t>
        </is>
      </c>
      <c r="Q122" t="inlineStr">
        <is>
          <t>nan</t>
        </is>
      </c>
      <c r="R122" t="n">
        <v>77.62</v>
      </c>
      <c r="S122" t="n">
        <v>36.5</v>
      </c>
      <c r="T122" t="inlineStr">
        <is>
          <t>Below</t>
        </is>
      </c>
      <c r="U122" t="inlineStr">
        <is>
          <t>Below</t>
        </is>
      </c>
      <c r="V122" t="inlineStr">
        <is>
          <t>Manual review</t>
        </is>
      </c>
    </row>
    <row r="123">
      <c r="A123" t="n">
        <v>78</v>
      </c>
      <c r="B123">
        <f>HYPERLINK("https://imapinvasives.natureserve.org/imap/services/page/Presence/1443662.html", "View")</f>
        <v/>
      </c>
      <c r="C123" t="n">
        <v>1443662</v>
      </c>
      <c r="D123" t="n">
        <v>1458301</v>
      </c>
      <c r="E123" t="inlineStr">
        <is>
          <t>No Photo</t>
        </is>
      </c>
      <c r="F123" t="inlineStr">
        <is>
          <t>Verbascum thapsus</t>
        </is>
      </c>
      <c r="G123" t="inlineStr">
        <is>
          <t>Common Mullein</t>
        </is>
      </c>
      <c r="H123" t="n">
        <v>59029</v>
      </c>
      <c r="I123" t="inlineStr">
        <is>
          <t>Unknown</t>
        </is>
      </c>
      <c r="J123" t="inlineStr">
        <is>
          <t>Unknown</t>
        </is>
      </c>
      <c r="K123" t="inlineStr">
        <is>
          <t>Unknown</t>
        </is>
      </c>
      <c r="L123" t="inlineStr">
        <is>
          <t>Unknown</t>
        </is>
      </c>
      <c r="M123" t="inlineStr">
        <is>
          <t>Unknown</t>
        </is>
      </c>
      <c r="N123" t="inlineStr">
        <is>
          <t>Unknown</t>
        </is>
      </c>
      <c r="O123" t="n">
        <v>0</v>
      </c>
      <c r="P123" t="inlineStr">
        <is>
          <t>Unmatch</t>
        </is>
      </c>
      <c r="Q123" t="inlineStr">
        <is>
          <t>nan</t>
        </is>
      </c>
      <c r="R123" t="n">
        <v>77.62</v>
      </c>
      <c r="S123" t="n">
        <v>36.5</v>
      </c>
      <c r="T123" t="inlineStr">
        <is>
          <t>Below</t>
        </is>
      </c>
      <c r="U123" t="inlineStr">
        <is>
          <t>Below</t>
        </is>
      </c>
      <c r="V123" t="inlineStr">
        <is>
          <t>Manual review</t>
        </is>
      </c>
    </row>
    <row r="124">
      <c r="A124" t="n">
        <v>78</v>
      </c>
      <c r="B124">
        <f>HYPERLINK("https://imapinvasives.natureserve.org/imap/services/page/Presence/1443662.html", "View")</f>
        <v/>
      </c>
      <c r="C124" t="n">
        <v>1443662</v>
      </c>
      <c r="D124" t="n">
        <v>1458305</v>
      </c>
      <c r="E124" t="inlineStr">
        <is>
          <t>No Photo</t>
        </is>
      </c>
      <c r="F124" t="inlineStr">
        <is>
          <t>Vinca minor</t>
        </is>
      </c>
      <c r="G124" t="inlineStr">
        <is>
          <t>Lesser Periwinkle</t>
        </is>
      </c>
      <c r="H124" t="n">
        <v>55844</v>
      </c>
      <c r="I124" t="inlineStr">
        <is>
          <t>Unknown</t>
        </is>
      </c>
      <c r="J124" t="inlineStr">
        <is>
          <t>Unknown</t>
        </is>
      </c>
      <c r="K124" t="inlineStr">
        <is>
          <t>Unknown</t>
        </is>
      </c>
      <c r="L124" t="inlineStr">
        <is>
          <t>Unknown</t>
        </is>
      </c>
      <c r="M124" t="inlineStr">
        <is>
          <t>Unknown</t>
        </is>
      </c>
      <c r="N124" t="inlineStr">
        <is>
          <t>Unknown</t>
        </is>
      </c>
      <c r="O124" t="n">
        <v>0</v>
      </c>
      <c r="P124" t="inlineStr">
        <is>
          <t>Unmatch</t>
        </is>
      </c>
      <c r="Q124" t="inlineStr">
        <is>
          <t>M</t>
        </is>
      </c>
      <c r="R124" t="n">
        <v>77.62</v>
      </c>
      <c r="S124" t="n">
        <v>36.5</v>
      </c>
      <c r="T124" t="inlineStr">
        <is>
          <t>Below</t>
        </is>
      </c>
      <c r="U124" t="inlineStr">
        <is>
          <t>Below</t>
        </is>
      </c>
      <c r="V124" t="inlineStr">
        <is>
          <t>Manual review</t>
        </is>
      </c>
    </row>
    <row r="125">
      <c r="A125" t="n">
        <v>79</v>
      </c>
      <c r="B125">
        <f>HYPERLINK("https://imapinvasives.natureserve.org/imap/services/page/Presence/1435543.html", "View")</f>
        <v/>
      </c>
      <c r="C125" t="n">
        <v>1435543</v>
      </c>
      <c r="D125" t="n">
        <v>1449273</v>
      </c>
      <c r="E125">
        <f>HYPERLINK("http://imap3images.s3-website-us-east-1.amazonaws.com/1449273/p/20240719_102026.jpg", "View")</f>
        <v/>
      </c>
      <c r="F125" t="inlineStr">
        <is>
          <t>Adelges tsugae</t>
        </is>
      </c>
      <c r="G125" t="inlineStr">
        <is>
          <t>Hemlock Woolly Adelgid</t>
        </is>
      </c>
      <c r="H125" t="n">
        <v>61513</v>
      </c>
      <c r="I125">
        <f>HYPERLINK("https://www.inaturalist.org/taxa/48734-Tsuga-canadensis", "View")</f>
        <v/>
      </c>
      <c r="J125" t="inlineStr">
        <is>
          <t>Tsuga canadensis</t>
        </is>
      </c>
      <c r="K125" t="inlineStr">
        <is>
          <t>Eastern hemlock</t>
        </is>
      </c>
      <c r="L125" t="n">
        <v>48734</v>
      </c>
      <c r="M125" t="n">
        <v>32.08</v>
      </c>
      <c r="N125" t="n">
        <v>61.85</v>
      </c>
      <c r="O125" t="n">
        <v>0</v>
      </c>
      <c r="P125" t="inlineStr">
        <is>
          <t>Unmatch</t>
        </is>
      </c>
      <c r="Q125" t="inlineStr">
        <is>
          <t>3</t>
        </is>
      </c>
      <c r="R125" t="n">
        <v>82.84999999999999</v>
      </c>
      <c r="S125" t="n">
        <v>21.26</v>
      </c>
      <c r="T125" t="inlineStr">
        <is>
          <t>Below</t>
        </is>
      </c>
      <c r="U125" t="inlineStr">
        <is>
          <t>Above</t>
        </is>
      </c>
      <c r="V125" t="inlineStr">
        <is>
          <t>Manual review</t>
        </is>
      </c>
    </row>
    <row r="126">
      <c r="A126" t="n">
        <v>80</v>
      </c>
      <c r="B126">
        <f>HYPERLINK("https://imapinvasives.natureserve.org/imap/services/page/Presence/1437877.html", "View")</f>
        <v/>
      </c>
      <c r="C126" t="n">
        <v>1437877</v>
      </c>
      <c r="D126" t="n">
        <v>1452065</v>
      </c>
      <c r="E126">
        <f>HYPERLINK("http://imap3images.s3-website-us-east-1.amazonaws.com/1452065/p/Multiflora_Rose_(Pasture).png", "View")</f>
        <v/>
      </c>
      <c r="F126" t="inlineStr">
        <is>
          <t>Rosa multiflora</t>
        </is>
      </c>
      <c r="G126" t="inlineStr">
        <is>
          <t>Multiflora Rose</t>
        </is>
      </c>
      <c r="H126" t="n">
        <v>78882</v>
      </c>
      <c r="I126">
        <f>HYPERLINK("https://www.inaturalist.org/taxa/43580-Gorilla-gorilla", "View")</f>
        <v/>
      </c>
      <c r="J126" t="inlineStr">
        <is>
          <t>Gorilla gorilla</t>
        </is>
      </c>
      <c r="K126" t="inlineStr">
        <is>
          <t>Western gorilla</t>
        </is>
      </c>
      <c r="L126" t="n">
        <v>43580</v>
      </c>
      <c r="M126" t="n">
        <v>0</v>
      </c>
      <c r="N126" t="n">
        <v>25.14</v>
      </c>
      <c r="O126" t="n">
        <v>0</v>
      </c>
      <c r="P126" t="inlineStr">
        <is>
          <t>Unmatch</t>
        </is>
      </c>
      <c r="Q126" t="inlineStr">
        <is>
          <t>4</t>
        </is>
      </c>
      <c r="R126" t="n">
        <v>74.05</v>
      </c>
      <c r="S126" t="n">
        <v>41.31</v>
      </c>
      <c r="T126" t="inlineStr">
        <is>
          <t>Below</t>
        </is>
      </c>
      <c r="U126" t="inlineStr">
        <is>
          <t>Below</t>
        </is>
      </c>
      <c r="V126" t="inlineStr">
        <is>
          <t>Manual review</t>
        </is>
      </c>
    </row>
    <row r="127">
      <c r="A127" t="n">
        <v>81</v>
      </c>
      <c r="B127">
        <f>HYPERLINK("https://imapinvasives.natureserve.org/imap/services/page/Presence/1439152.html", "View")</f>
        <v/>
      </c>
      <c r="C127" t="n">
        <v>1439152</v>
      </c>
      <c r="D127" t="n">
        <v>1453533</v>
      </c>
      <c r="E127">
        <f>HYPERLINK("http://imap3images.s3-website-us-east-1.amazonaws.com/1453533/p/IMG_1576.jpeg", "View")</f>
        <v/>
      </c>
      <c r="F127" t="inlineStr">
        <is>
          <t>Lythrum salicaria</t>
        </is>
      </c>
      <c r="G127" t="inlineStr">
        <is>
          <t>Purple Loosestrife</t>
        </is>
      </c>
      <c r="H127" t="n">
        <v>61321</v>
      </c>
      <c r="I127">
        <f>HYPERLINK("https://www.inaturalist.org/taxa/64237-Phragmites-australis", "View")</f>
        <v/>
      </c>
      <c r="J127" t="inlineStr">
        <is>
          <t>Phragmites australis</t>
        </is>
      </c>
      <c r="K127" t="inlineStr">
        <is>
          <t>Common reed</t>
        </is>
      </c>
      <c r="L127" t="n">
        <v>64237</v>
      </c>
      <c r="M127" t="n">
        <v>4.59</v>
      </c>
      <c r="N127" t="n">
        <v>20.09</v>
      </c>
      <c r="O127" t="n">
        <v>0</v>
      </c>
      <c r="P127" t="inlineStr">
        <is>
          <t>Unmatch</t>
        </is>
      </c>
      <c r="Q127" t="inlineStr">
        <is>
          <t>4</t>
        </is>
      </c>
      <c r="R127" t="n">
        <v>89.08</v>
      </c>
      <c r="S127" t="n">
        <v>38.21</v>
      </c>
      <c r="T127" t="inlineStr">
        <is>
          <t>Below</t>
        </is>
      </c>
      <c r="U127" t="inlineStr">
        <is>
          <t>Below</t>
        </is>
      </c>
      <c r="V127" t="inlineStr">
        <is>
          <t>Manual review</t>
        </is>
      </c>
    </row>
    <row r="128">
      <c r="A128" t="n">
        <v>82</v>
      </c>
      <c r="B128">
        <f>HYPERLINK("https://imapinvasives.natureserve.org/imap/services/page/Presence/1439282.html", "View")</f>
        <v/>
      </c>
      <c r="C128" t="n">
        <v>1439282</v>
      </c>
      <c r="D128" t="n">
        <v>1453693</v>
      </c>
      <c r="E128">
        <f>HYPERLINK("http://imap3images.s3-website-us-east-1.amazonaws.com/1453693/p/PXL_20240808_181348748.MP.jpg", "View")</f>
        <v/>
      </c>
      <c r="F128" t="inlineStr">
        <is>
          <t>Myriophyllum spicatum</t>
        </is>
      </c>
      <c r="G128" t="inlineStr">
        <is>
          <t>Eurasian Water-milfoil</t>
        </is>
      </c>
      <c r="H128" t="n">
        <v>78157</v>
      </c>
      <c r="I128">
        <f>HYPERLINK("https://www.inaturalist.org/taxa/78157-Myriophyllum-spicatum", "View")</f>
        <v/>
      </c>
      <c r="J128" t="inlineStr">
        <is>
          <t>Myriophyllum spicatum</t>
        </is>
      </c>
      <c r="K128" t="inlineStr">
        <is>
          <t>Eurasian water-milfoil</t>
        </is>
      </c>
      <c r="L128" t="n">
        <v>78157</v>
      </c>
      <c r="M128" t="n">
        <v>8.029999999999999</v>
      </c>
      <c r="N128" t="n">
        <v>54.29</v>
      </c>
      <c r="O128" t="n">
        <v>1</v>
      </c>
      <c r="P128" t="inlineStr">
        <is>
          <t>Match</t>
        </is>
      </c>
      <c r="Q128" t="inlineStr">
        <is>
          <t>4</t>
        </is>
      </c>
      <c r="R128" t="n">
        <v>77.62</v>
      </c>
      <c r="S128" t="n">
        <v>36.5</v>
      </c>
      <c r="T128" t="inlineStr">
        <is>
          <t>Below</t>
        </is>
      </c>
      <c r="U128" t="inlineStr">
        <is>
          <t>Below</t>
        </is>
      </c>
      <c r="V128" t="inlineStr">
        <is>
          <t>Manual review</t>
        </is>
      </c>
    </row>
    <row r="129">
      <c r="A129" t="n">
        <v>83</v>
      </c>
      <c r="B129">
        <f>HYPERLINK("https://imapinvasives.natureserve.org/imap/services/page/Presence/1440283.html", "View")</f>
        <v/>
      </c>
      <c r="C129" t="n">
        <v>1440283</v>
      </c>
      <c r="D129" t="n">
        <v>1454738</v>
      </c>
      <c r="E129">
        <f>HYPERLINK("http://imap3images.s3-website-us-east-1.amazonaws.com/1454738/p/2024-08-14_(15).JPG", "View")</f>
        <v/>
      </c>
      <c r="F129" t="inlineStr">
        <is>
          <t>Reynoutria japonica var. japonica</t>
        </is>
      </c>
      <c r="G129" t="inlineStr">
        <is>
          <t>Japanese Knotweed</t>
        </is>
      </c>
      <c r="H129" t="n">
        <v>914922</v>
      </c>
      <c r="I129">
        <f>HYPERLINK("https://www.inaturalist.org/taxa/914922-Reynoutria-japonica", "View")</f>
        <v/>
      </c>
      <c r="J129" t="inlineStr">
        <is>
          <t>Reynoutria japonica</t>
        </is>
      </c>
      <c r="K129" t="inlineStr">
        <is>
          <t>Japanese knotweed</t>
        </is>
      </c>
      <c r="L129" t="n">
        <v>914922</v>
      </c>
      <c r="M129" t="n">
        <v>12.43</v>
      </c>
      <c r="N129" t="n">
        <v>97.03</v>
      </c>
      <c r="O129" t="n">
        <v>1</v>
      </c>
      <c r="P129" t="inlineStr">
        <is>
          <t>Match</t>
        </is>
      </c>
      <c r="Q129" t="inlineStr">
        <is>
          <t>nan</t>
        </is>
      </c>
      <c r="R129" t="n">
        <v>77.62</v>
      </c>
      <c r="S129" t="n">
        <v>36.5</v>
      </c>
      <c r="T129" t="inlineStr">
        <is>
          <t>Above</t>
        </is>
      </c>
      <c r="U129" t="inlineStr">
        <is>
          <t>Below</t>
        </is>
      </c>
      <c r="V129" t="inlineStr">
        <is>
          <t>Automatically confirmed</t>
        </is>
      </c>
    </row>
    <row r="130">
      <c r="A130" t="n">
        <v>84</v>
      </c>
      <c r="B130">
        <f>HYPERLINK("https://imapinvasives.natureserve.org/imap/services/page/Presence/1440287.html", "View")</f>
        <v/>
      </c>
      <c r="C130" t="n">
        <v>1440287</v>
      </c>
      <c r="D130" t="n">
        <v>1454742</v>
      </c>
      <c r="E130">
        <f>HYPERLINK("http://imap3images.s3-website-us-east-1.amazonaws.com/1454742/p/IMG_4359.JPG", "View")</f>
        <v/>
      </c>
      <c r="F130" t="inlineStr">
        <is>
          <t>Persicaria perfoliata</t>
        </is>
      </c>
      <c r="G130" t="inlineStr">
        <is>
          <t>Mile-a-minute-weed</t>
        </is>
      </c>
      <c r="H130" t="n">
        <v>131249</v>
      </c>
      <c r="I130">
        <f>HYPERLINK("https://www.inaturalist.org/taxa/131249-Persicaria-perfoliata", "View")</f>
        <v/>
      </c>
      <c r="J130" t="inlineStr">
        <is>
          <t>Persicaria perfoliata</t>
        </is>
      </c>
      <c r="K130" t="inlineStr">
        <is>
          <t>Mile-a-minute weed</t>
        </is>
      </c>
      <c r="L130" t="n">
        <v>131249</v>
      </c>
      <c r="M130" t="n">
        <v>41.95</v>
      </c>
      <c r="N130" t="n">
        <v>98.72</v>
      </c>
      <c r="O130" t="n">
        <v>1</v>
      </c>
      <c r="P130" t="inlineStr">
        <is>
          <t>Match</t>
        </is>
      </c>
      <c r="Q130" t="inlineStr">
        <is>
          <t>4</t>
        </is>
      </c>
      <c r="R130" t="n">
        <v>77.62</v>
      </c>
      <c r="S130" t="n">
        <v>36.5</v>
      </c>
      <c r="T130" t="inlineStr">
        <is>
          <t>Above</t>
        </is>
      </c>
      <c r="U130" t="inlineStr">
        <is>
          <t>Above</t>
        </is>
      </c>
      <c r="V130" t="inlineStr">
        <is>
          <t>Automatically confirmed</t>
        </is>
      </c>
    </row>
    <row r="131">
      <c r="A131" t="n">
        <v>85</v>
      </c>
      <c r="B131">
        <f>HYPERLINK("https://imapinvasives.natureserve.org/imap/services/page/Presence/1441455.html", "View")</f>
        <v/>
      </c>
      <c r="C131" t="n">
        <v>1441455</v>
      </c>
      <c r="D131" t="n">
        <v>1455914</v>
      </c>
      <c r="E131">
        <f>HYPERLINK("http://imap3images.s3-website-us-east-1.amazonaws.com/1455914/p/20240813_111921.jpg", "View")</f>
        <v/>
      </c>
      <c r="F131" t="inlineStr">
        <is>
          <t>Adelges tsugae</t>
        </is>
      </c>
      <c r="G131" t="inlineStr">
        <is>
          <t>Hemlock Woolly Adelgid</t>
        </is>
      </c>
      <c r="H131" t="n">
        <v>61513</v>
      </c>
      <c r="I131">
        <f>HYPERLINK("https://www.inaturalist.org/taxa/61513-Adelges-tsugae", "View")</f>
        <v/>
      </c>
      <c r="J131" t="inlineStr">
        <is>
          <t>Adelges tsugae</t>
        </is>
      </c>
      <c r="K131" t="inlineStr">
        <is>
          <t>Hemlock woolly adelgid</t>
        </is>
      </c>
      <c r="L131" t="n">
        <v>61513</v>
      </c>
      <c r="M131" t="n">
        <v>10.25</v>
      </c>
      <c r="N131" t="n">
        <v>92.98</v>
      </c>
      <c r="O131" t="n">
        <v>1</v>
      </c>
      <c r="P131" t="inlineStr">
        <is>
          <t>Match</t>
        </is>
      </c>
      <c r="Q131" t="inlineStr">
        <is>
          <t>3</t>
        </is>
      </c>
      <c r="R131" t="n">
        <v>82.84999999999999</v>
      </c>
      <c r="S131" t="n">
        <v>21.26</v>
      </c>
      <c r="T131" t="inlineStr">
        <is>
          <t>Above</t>
        </is>
      </c>
      <c r="U131" t="inlineStr">
        <is>
          <t>Below</t>
        </is>
      </c>
      <c r="V131" t="inlineStr">
        <is>
          <t>Manual review</t>
        </is>
      </c>
    </row>
    <row r="132">
      <c r="A132" t="n">
        <v>86</v>
      </c>
      <c r="B132">
        <f>HYPERLINK("https://imapinvasives.natureserve.org/imap/services/page/Presence/1441456.html", "View")</f>
        <v/>
      </c>
      <c r="C132" t="n">
        <v>1441456</v>
      </c>
      <c r="D132" t="n">
        <v>1455915</v>
      </c>
      <c r="E132">
        <f>HYPERLINK("http://imap3images.s3-website-us-east-1.amazonaws.com/1455915/p/20240816_110113.jpg", "View")</f>
        <v/>
      </c>
      <c r="F132" t="inlineStr">
        <is>
          <t>Adelges tsugae</t>
        </is>
      </c>
      <c r="G132" t="inlineStr">
        <is>
          <t>Hemlock Woolly Adelgid</t>
        </is>
      </c>
      <c r="H132" t="n">
        <v>61513</v>
      </c>
      <c r="I132">
        <f>HYPERLINK("https://www.inaturalist.org/taxa/52391-Pinus-strobus", "View")</f>
        <v/>
      </c>
      <c r="J132" t="inlineStr">
        <is>
          <t>Pinus strobus</t>
        </is>
      </c>
      <c r="K132" t="inlineStr">
        <is>
          <t>Eastern white pine</t>
        </is>
      </c>
      <c r="L132" t="n">
        <v>52391</v>
      </c>
      <c r="M132" t="n">
        <v>37.44</v>
      </c>
      <c r="N132" t="n">
        <v>33.25</v>
      </c>
      <c r="O132" t="n">
        <v>0</v>
      </c>
      <c r="P132" t="inlineStr">
        <is>
          <t>Unmatch</t>
        </is>
      </c>
      <c r="Q132" t="inlineStr">
        <is>
          <t>3</t>
        </is>
      </c>
      <c r="R132" t="n">
        <v>82.84999999999999</v>
      </c>
      <c r="S132" t="n">
        <v>21.26</v>
      </c>
      <c r="T132" t="inlineStr">
        <is>
          <t>Below</t>
        </is>
      </c>
      <c r="U132" t="inlineStr">
        <is>
          <t>Above</t>
        </is>
      </c>
      <c r="V132" t="inlineStr">
        <is>
          <t>Manual review</t>
        </is>
      </c>
    </row>
    <row r="133">
      <c r="A133" t="n">
        <v>87</v>
      </c>
      <c r="B133">
        <f>HYPERLINK("https://imapinvasives.natureserve.org/imap/services/page/Presence/1442429.html", "View")</f>
        <v/>
      </c>
      <c r="C133" t="n">
        <v>1442429</v>
      </c>
      <c r="D133" t="n">
        <v>1457004</v>
      </c>
      <c r="E133">
        <f>HYPERLINK("http://imap3images.s3-website-us-east-1.amazonaws.com/1457004/p/IMG_9851.jpeg", "View")</f>
        <v/>
      </c>
      <c r="F133" t="inlineStr">
        <is>
          <t>Myriophyllum spicatum</t>
        </is>
      </c>
      <c r="G133" t="inlineStr">
        <is>
          <t>Eurasian Water-milfoil</t>
        </is>
      </c>
      <c r="H133" t="n">
        <v>78157</v>
      </c>
      <c r="I133">
        <f>HYPERLINK("https://www.inaturalist.org/taxa/6432-Archilochus-colubris", "View")</f>
        <v/>
      </c>
      <c r="J133" t="inlineStr">
        <is>
          <t>Archilochus colubris</t>
        </is>
      </c>
      <c r="K133" t="inlineStr">
        <is>
          <t>Ruby-throated hummingbird</t>
        </is>
      </c>
      <c r="L133" t="n">
        <v>6432</v>
      </c>
      <c r="M133" t="n">
        <v>12.18</v>
      </c>
      <c r="N133" t="n">
        <v>2.99</v>
      </c>
      <c r="O133" t="n">
        <v>0</v>
      </c>
      <c r="P133" t="inlineStr">
        <is>
          <t>Unmatch</t>
        </is>
      </c>
      <c r="Q133" t="inlineStr">
        <is>
          <t>4</t>
        </is>
      </c>
      <c r="R133" t="n">
        <v>77.62</v>
      </c>
      <c r="S133" t="n">
        <v>36.5</v>
      </c>
      <c r="T133" t="inlineStr">
        <is>
          <t>Below</t>
        </is>
      </c>
      <c r="U133" t="inlineStr">
        <is>
          <t>Below</t>
        </is>
      </c>
      <c r="V133" t="inlineStr">
        <is>
          <t>Manual review</t>
        </is>
      </c>
    </row>
    <row r="134">
      <c r="A134" t="n">
        <v>88</v>
      </c>
      <c r="B134">
        <f>HYPERLINK("https://imapinvasives.natureserve.org/imap/services/page/Presence/1443498.html", "View")</f>
        <v/>
      </c>
      <c r="C134" t="n">
        <v>1443498</v>
      </c>
      <c r="D134" t="n">
        <v>1458126</v>
      </c>
      <c r="E134">
        <f>HYPERLINK("http://imap3images.s3-website-us-east-1.amazonaws.com/1458126/p/bittersweet_after_treatment.jpg", "View")</f>
        <v/>
      </c>
      <c r="F134" t="inlineStr">
        <is>
          <t>Celastrus orbiculatus</t>
        </is>
      </c>
      <c r="G134" t="inlineStr">
        <is>
          <t>Oriental Bittersweet</t>
        </is>
      </c>
      <c r="H134" t="n">
        <v>64540</v>
      </c>
      <c r="I134">
        <f>HYPERLINK("https://www.inaturalist.org/taxa/75903-Bromus-inermis", "View")</f>
        <v/>
      </c>
      <c r="J134" t="inlineStr">
        <is>
          <t>Bromus inermis</t>
        </is>
      </c>
      <c r="K134" t="inlineStr">
        <is>
          <t>Smooth brome</t>
        </is>
      </c>
      <c r="L134" t="n">
        <v>75903</v>
      </c>
      <c r="M134" t="n">
        <v>6.78</v>
      </c>
      <c r="N134" t="n">
        <v>11.03</v>
      </c>
      <c r="O134" t="n">
        <v>0</v>
      </c>
      <c r="P134" t="inlineStr">
        <is>
          <t>Unmatch</t>
        </is>
      </c>
      <c r="Q134" t="inlineStr">
        <is>
          <t>4</t>
        </is>
      </c>
      <c r="R134" t="n">
        <v>65.45</v>
      </c>
      <c r="S134" t="n">
        <v>33.65</v>
      </c>
      <c r="T134" t="inlineStr">
        <is>
          <t>Below</t>
        </is>
      </c>
      <c r="U134" t="inlineStr">
        <is>
          <t>Below</t>
        </is>
      </c>
      <c r="V134" t="inlineStr">
        <is>
          <t>Manual review</t>
        </is>
      </c>
    </row>
    <row r="135">
      <c r="A135" t="n">
        <v>89</v>
      </c>
      <c r="B135">
        <f>HYPERLINK("https://imapinvasives.natureserve.org/imap/services/page/Presence/1443499.html", "View")</f>
        <v/>
      </c>
      <c r="C135" t="n">
        <v>1443499</v>
      </c>
      <c r="D135" t="n">
        <v>1458129</v>
      </c>
      <c r="E135">
        <f>HYPERLINK("http://imap3images.s3-website-us-east-1.amazonaws.com/1458129/p/sprayed_knapweed_and_parsnip_along_trail.jpg", "View")</f>
        <v/>
      </c>
      <c r="F135" t="inlineStr">
        <is>
          <t>Centaurea jacea</t>
        </is>
      </c>
      <c r="G135" t="inlineStr">
        <is>
          <t>Brown Star-thistle</t>
        </is>
      </c>
      <c r="H135" t="n">
        <v>55713</v>
      </c>
      <c r="I135">
        <f>HYPERLINK("https://www.inaturalist.org/taxa/366300-Crotalaria-juncea", "View")</f>
        <v/>
      </c>
      <c r="J135" t="inlineStr">
        <is>
          <t>Crotalaria juncea</t>
        </is>
      </c>
      <c r="K135" t="inlineStr">
        <is>
          <t>Sunn hemp</t>
        </is>
      </c>
      <c r="L135" t="n">
        <v>366300</v>
      </c>
      <c r="M135" t="n">
        <v>0.01</v>
      </c>
      <c r="N135" t="n">
        <v>8.609999999999999</v>
      </c>
      <c r="O135" t="n">
        <v>0</v>
      </c>
      <c r="P135" t="inlineStr">
        <is>
          <t>Unmatch</t>
        </is>
      </c>
      <c r="Q135" t="inlineStr">
        <is>
          <t>4</t>
        </is>
      </c>
      <c r="R135" t="n">
        <v>77.62</v>
      </c>
      <c r="S135" t="n">
        <v>36.5</v>
      </c>
      <c r="T135" t="inlineStr">
        <is>
          <t>Below</t>
        </is>
      </c>
      <c r="U135" t="inlineStr">
        <is>
          <t>Below</t>
        </is>
      </c>
      <c r="V135" t="inlineStr">
        <is>
          <t>Manual review</t>
        </is>
      </c>
    </row>
    <row r="136">
      <c r="A136" t="n">
        <v>89</v>
      </c>
      <c r="B136">
        <f>HYPERLINK("https://imapinvasives.natureserve.org/imap/services/page/Presence/1443499.html", "View")</f>
        <v/>
      </c>
      <c r="C136" t="n">
        <v>1443499</v>
      </c>
      <c r="D136" t="n">
        <v>1458128</v>
      </c>
      <c r="E136">
        <f>HYPERLINK("http://imap3images.s3-website-us-east-1.amazonaws.com/1458128/p/sprayed_knapweed_along_trail_.jpg", "View")</f>
        <v/>
      </c>
      <c r="F136" t="inlineStr">
        <is>
          <t>Centaurea nigra</t>
        </is>
      </c>
      <c r="G136" t="inlineStr">
        <is>
          <t>Black Star-thistle</t>
        </is>
      </c>
      <c r="H136" t="n">
        <v>126575</v>
      </c>
      <c r="I136">
        <f>HYPERLINK("https://www.inaturalist.org/taxa/76211-Centaurea-diluta", "View")</f>
        <v/>
      </c>
      <c r="J136" t="inlineStr">
        <is>
          <t>Centaurea diluta</t>
        </is>
      </c>
      <c r="K136" t="inlineStr">
        <is>
          <t>North african knapweed</t>
        </is>
      </c>
      <c r="L136" t="n">
        <v>76211</v>
      </c>
      <c r="M136" t="n">
        <v>0</v>
      </c>
      <c r="N136" t="n">
        <v>16.64</v>
      </c>
      <c r="O136" t="n">
        <v>0</v>
      </c>
      <c r="P136" t="inlineStr">
        <is>
          <t>Unmatch</t>
        </is>
      </c>
      <c r="Q136" t="inlineStr">
        <is>
          <t>4</t>
        </is>
      </c>
      <c r="R136" t="n">
        <v>77.62</v>
      </c>
      <c r="S136" t="n">
        <v>36.5</v>
      </c>
      <c r="T136" t="inlineStr">
        <is>
          <t>Below</t>
        </is>
      </c>
      <c r="U136" t="inlineStr">
        <is>
          <t>Below</t>
        </is>
      </c>
      <c r="V136" t="inlineStr">
        <is>
          <t>Manual review</t>
        </is>
      </c>
    </row>
    <row r="137">
      <c r="A137" t="n">
        <v>89</v>
      </c>
      <c r="B137">
        <f>HYPERLINK("https://imapinvasives.natureserve.org/imap/services/page/Presence/1443499.html", "View")</f>
        <v/>
      </c>
      <c r="C137" t="n">
        <v>1443499</v>
      </c>
      <c r="D137" t="n">
        <v>1458131</v>
      </c>
      <c r="E137">
        <f>HYPERLINK("http://imap3images.s3-website-us-east-1.amazonaws.com/1458131/p/dead_canada_thistle.jpg", "View")</f>
        <v/>
      </c>
      <c r="F137" t="inlineStr">
        <is>
          <t>Cirsium arvense</t>
        </is>
      </c>
      <c r="G137" t="inlineStr">
        <is>
          <t>Creeping Thistle</t>
        </is>
      </c>
      <c r="H137" t="n">
        <v>60132</v>
      </c>
      <c r="I137">
        <f>HYPERLINK("https://www.inaturalist.org/taxa/75903-Bromus-inermis", "View")</f>
        <v/>
      </c>
      <c r="J137" t="inlineStr">
        <is>
          <t>Bromus inermis</t>
        </is>
      </c>
      <c r="K137" t="inlineStr">
        <is>
          <t>Smooth brome</t>
        </is>
      </c>
      <c r="L137" t="n">
        <v>75903</v>
      </c>
      <c r="M137" t="n">
        <v>6.78</v>
      </c>
      <c r="N137" t="n">
        <v>37.99</v>
      </c>
      <c r="O137" t="n">
        <v>0</v>
      </c>
      <c r="P137" t="inlineStr">
        <is>
          <t>Unmatch</t>
        </is>
      </c>
      <c r="Q137" t="inlineStr">
        <is>
          <t>4</t>
        </is>
      </c>
      <c r="R137" t="n">
        <v>77.62</v>
      </c>
      <c r="S137" t="n">
        <v>36.5</v>
      </c>
      <c r="T137" t="inlineStr">
        <is>
          <t>Below</t>
        </is>
      </c>
      <c r="U137" t="inlineStr">
        <is>
          <t>Below</t>
        </is>
      </c>
      <c r="V137" t="inlineStr">
        <is>
          <t>Manual review</t>
        </is>
      </c>
    </row>
    <row r="138">
      <c r="A138" t="n">
        <v>89</v>
      </c>
      <c r="B138">
        <f>HYPERLINK("https://imapinvasives.natureserve.org/imap/services/page/Presence/1443499.html", "View")</f>
        <v/>
      </c>
      <c r="C138" t="n">
        <v>1443499</v>
      </c>
      <c r="D138" t="n">
        <v>1458130</v>
      </c>
      <c r="E138" t="inlineStr">
        <is>
          <t>No Photo</t>
        </is>
      </c>
      <c r="F138" t="inlineStr">
        <is>
          <t>Cirsium vulgare</t>
        </is>
      </c>
      <c r="G138" t="inlineStr">
        <is>
          <t>Bull Thistle</t>
        </is>
      </c>
      <c r="H138" t="n">
        <v>52989</v>
      </c>
      <c r="I138" t="inlineStr">
        <is>
          <t>Unknown</t>
        </is>
      </c>
      <c r="J138" t="inlineStr">
        <is>
          <t>Unknown</t>
        </is>
      </c>
      <c r="K138" t="inlineStr">
        <is>
          <t>Unknown</t>
        </is>
      </c>
      <c r="L138" t="inlineStr">
        <is>
          <t>Unknown</t>
        </is>
      </c>
      <c r="M138" t="inlineStr">
        <is>
          <t>Unknown</t>
        </is>
      </c>
      <c r="N138" t="inlineStr">
        <is>
          <t>Unknown</t>
        </is>
      </c>
      <c r="O138" t="n">
        <v>0</v>
      </c>
      <c r="P138" t="inlineStr">
        <is>
          <t>Unmatch</t>
        </is>
      </c>
      <c r="Q138" t="inlineStr">
        <is>
          <t>4</t>
        </is>
      </c>
      <c r="R138" t="n">
        <v>77.62</v>
      </c>
      <c r="S138" t="n">
        <v>36.5</v>
      </c>
      <c r="T138" t="inlineStr">
        <is>
          <t>Below</t>
        </is>
      </c>
      <c r="U138" t="inlineStr">
        <is>
          <t>Below</t>
        </is>
      </c>
      <c r="V138" t="inlineStr">
        <is>
          <t>Manual review</t>
        </is>
      </c>
    </row>
    <row r="139">
      <c r="A139" t="n">
        <v>89</v>
      </c>
      <c r="B139">
        <f>HYPERLINK("https://imapinvasives.natureserve.org/imap/services/page/Presence/1443499.html", "View")</f>
        <v/>
      </c>
      <c r="C139" t="n">
        <v>1443499</v>
      </c>
      <c r="D139" t="n">
        <v>1458127</v>
      </c>
      <c r="E139">
        <f>HYPERLINK("http://imap3images.s3-website-us-east-1.amazonaws.com/1458127/p/dying_parsnip_along_trail.jpg", "View")</f>
        <v/>
      </c>
      <c r="F139" t="inlineStr">
        <is>
          <t>Pastinaca sativa</t>
        </is>
      </c>
      <c r="G139" t="inlineStr">
        <is>
          <t>Wild Parsnip</t>
        </is>
      </c>
      <c r="H139" t="n">
        <v>59778</v>
      </c>
      <c r="I139">
        <f>HYPERLINK("https://www.inaturalist.org/taxa/362191-Montrichardia-arborescens", "View")</f>
        <v/>
      </c>
      <c r="J139" t="inlineStr">
        <is>
          <t>Montrichardia arborescens</t>
        </is>
      </c>
      <c r="K139" t="inlineStr">
        <is>
          <t>Yautia madera</t>
        </is>
      </c>
      <c r="L139" t="n">
        <v>362191</v>
      </c>
      <c r="M139" t="n">
        <v>0</v>
      </c>
      <c r="N139" t="n">
        <v>7.74</v>
      </c>
      <c r="O139" t="n">
        <v>0</v>
      </c>
      <c r="P139" t="inlineStr">
        <is>
          <t>Unmatch</t>
        </is>
      </c>
      <c r="Q139" t="inlineStr">
        <is>
          <t>4</t>
        </is>
      </c>
      <c r="R139" t="n">
        <v>77.62</v>
      </c>
      <c r="S139" t="n">
        <v>36.5</v>
      </c>
      <c r="T139" t="inlineStr">
        <is>
          <t>Below</t>
        </is>
      </c>
      <c r="U139" t="inlineStr">
        <is>
          <t>Below</t>
        </is>
      </c>
      <c r="V139" t="inlineStr">
        <is>
          <t>Manual review</t>
        </is>
      </c>
    </row>
    <row r="140">
      <c r="A140" t="n">
        <v>93</v>
      </c>
      <c r="B140">
        <f>HYPERLINK("https://imapinvasives.natureserve.org/imap/services/page/Presence/1444043.html", "View")</f>
        <v/>
      </c>
      <c r="C140" t="n">
        <v>1444043</v>
      </c>
      <c r="D140" t="n">
        <v>1458696</v>
      </c>
      <c r="E140">
        <f>HYPERLINK("http://imap3images.s3-website-us-east-1.amazonaws.com/1458696/p/Photo2-20240904-133602.jpg", "View")</f>
        <v/>
      </c>
      <c r="F140" t="inlineStr">
        <is>
          <t>Myriophyllum spicatum</t>
        </is>
      </c>
      <c r="G140" t="inlineStr">
        <is>
          <t>Eurasian Water-milfoil</t>
        </is>
      </c>
      <c r="H140" t="n">
        <v>78157</v>
      </c>
      <c r="I140">
        <f>HYPERLINK("https://www.inaturalist.org/taxa/78707-Potamogeton-crispus", "View")</f>
        <v/>
      </c>
      <c r="J140" t="inlineStr">
        <is>
          <t>Potamogeton crispus</t>
        </is>
      </c>
      <c r="K140" t="inlineStr">
        <is>
          <t>Curly-leaf pondweed</t>
        </is>
      </c>
      <c r="L140" t="n">
        <v>78707</v>
      </c>
      <c r="M140" t="n">
        <v>3.88</v>
      </c>
      <c r="N140" t="n">
        <v>50.9</v>
      </c>
      <c r="O140" t="n">
        <v>0</v>
      </c>
      <c r="P140" t="inlineStr">
        <is>
          <t>Unmatch</t>
        </is>
      </c>
      <c r="Q140" t="inlineStr">
        <is>
          <t>4</t>
        </is>
      </c>
      <c r="R140" t="n">
        <v>77.62</v>
      </c>
      <c r="S140" t="n">
        <v>36.5</v>
      </c>
      <c r="T140" t="inlineStr">
        <is>
          <t>Below</t>
        </is>
      </c>
      <c r="U140" t="inlineStr">
        <is>
          <t>Below</t>
        </is>
      </c>
      <c r="V140" t="inlineStr">
        <is>
          <t>Manual review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2025-04-04T23:06:42Z</dcterms:created>
  <dcterms:modified xmlns:dcterms="http://purl.org/dc/terms/" xmlns:xsi="http://www.w3.org/2001/XMLSchema-instance" xsi:type="dcterms:W3CDTF">2025-04-04T23:06:42Z</dcterms:modified>
</cp:coreProperties>
</file>