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mollick\Documents\iMapInvasives_NYNHP\Dataset_11_species\"/>
    </mc:Choice>
  </mc:AlternateContent>
  <xr:revisionPtr revIDLastSave="0" documentId="13_ncr:1_{3BB7EBA2-1BFC-4686-87A1-B3696C5517F7}" xr6:coauthVersionLast="47" xr6:coauthVersionMax="47" xr10:uidLastSave="{00000000-0000-0000-0000-000000000000}"/>
  <bookViews>
    <workbookView xWindow="-120" yWindow="-120" windowWidth="51840" windowHeight="21120" xr2:uid="{BDD42D7E-4C88-46FA-853C-5BBA920A2AA3}"/>
  </bookViews>
  <sheets>
    <sheet name="Sheet1" sheetId="1" r:id="rId1"/>
  </sheets>
  <definedNames>
    <definedName name="_xlnm._FilterDatabase" localSheetId="0" hidden="1">Sheet1!$A$1:$U$1101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01" i="1" l="1"/>
  <c r="E1101" i="1"/>
  <c r="B1101" i="1"/>
  <c r="I1100" i="1"/>
  <c r="E1100" i="1"/>
  <c r="B1100" i="1"/>
  <c r="I1099" i="1"/>
  <c r="E1099" i="1"/>
  <c r="B1099" i="1"/>
  <c r="I1098" i="1"/>
  <c r="E1098" i="1"/>
  <c r="B1098" i="1"/>
  <c r="I1097" i="1"/>
  <c r="E1097" i="1"/>
  <c r="B1097" i="1"/>
  <c r="I1096" i="1"/>
  <c r="E1096" i="1"/>
  <c r="B1096" i="1"/>
  <c r="I1095" i="1"/>
  <c r="E1095" i="1"/>
  <c r="B1095" i="1"/>
  <c r="I1094" i="1"/>
  <c r="E1094" i="1"/>
  <c r="B1094" i="1"/>
  <c r="I1093" i="1"/>
  <c r="E1093" i="1"/>
  <c r="B1093" i="1"/>
  <c r="I1092" i="1"/>
  <c r="E1092" i="1"/>
  <c r="B1092" i="1"/>
  <c r="I1091" i="1"/>
  <c r="E1091" i="1"/>
  <c r="B1091" i="1"/>
  <c r="I1090" i="1"/>
  <c r="E1090" i="1"/>
  <c r="B1090" i="1"/>
  <c r="I1089" i="1"/>
  <c r="E1089" i="1"/>
  <c r="B1089" i="1"/>
  <c r="I1088" i="1"/>
  <c r="E1088" i="1"/>
  <c r="B1088" i="1"/>
  <c r="I1087" i="1"/>
  <c r="E1087" i="1"/>
  <c r="B1087" i="1"/>
  <c r="I1086" i="1"/>
  <c r="E1086" i="1"/>
  <c r="B1086" i="1"/>
  <c r="I1085" i="1"/>
  <c r="E1085" i="1"/>
  <c r="B1085" i="1"/>
  <c r="I1084" i="1"/>
  <c r="E1084" i="1"/>
  <c r="B1084" i="1"/>
  <c r="I1083" i="1"/>
  <c r="E1083" i="1"/>
  <c r="B1083" i="1"/>
  <c r="I1082" i="1"/>
  <c r="E1082" i="1"/>
  <c r="B1082" i="1"/>
  <c r="I1081" i="1"/>
  <c r="E1081" i="1"/>
  <c r="B1081" i="1"/>
  <c r="I1080" i="1"/>
  <c r="E1080" i="1"/>
  <c r="B1080" i="1"/>
  <c r="I1079" i="1"/>
  <c r="E1079" i="1"/>
  <c r="B1079" i="1"/>
  <c r="I1078" i="1"/>
  <c r="E1078" i="1"/>
  <c r="B1078" i="1"/>
  <c r="I1077" i="1"/>
  <c r="E1077" i="1"/>
  <c r="B1077" i="1"/>
  <c r="I1076" i="1"/>
  <c r="E1076" i="1"/>
  <c r="B1076" i="1"/>
  <c r="I1075" i="1"/>
  <c r="E1075" i="1"/>
  <c r="B1075" i="1"/>
  <c r="I1074" i="1"/>
  <c r="E1074" i="1"/>
  <c r="B1074" i="1"/>
  <c r="I1073" i="1"/>
  <c r="E1073" i="1"/>
  <c r="B1073" i="1"/>
  <c r="I1072" i="1"/>
  <c r="E1072" i="1"/>
  <c r="B1072" i="1"/>
  <c r="I1071" i="1"/>
  <c r="E1071" i="1"/>
  <c r="B1071" i="1"/>
  <c r="I1070" i="1"/>
  <c r="E1070" i="1"/>
  <c r="B1070" i="1"/>
  <c r="I1069" i="1"/>
  <c r="E1069" i="1"/>
  <c r="B1069" i="1"/>
  <c r="I1068" i="1"/>
  <c r="E1068" i="1"/>
  <c r="B1068" i="1"/>
  <c r="I1067" i="1"/>
  <c r="E1067" i="1"/>
  <c r="B1067" i="1"/>
  <c r="I1066" i="1"/>
  <c r="E1066" i="1"/>
  <c r="B1066" i="1"/>
  <c r="I1065" i="1"/>
  <c r="E1065" i="1"/>
  <c r="B1065" i="1"/>
  <c r="I1064" i="1"/>
  <c r="E1064" i="1"/>
  <c r="B1064" i="1"/>
  <c r="I1063" i="1"/>
  <c r="E1063" i="1"/>
  <c r="B1063" i="1"/>
  <c r="I1062" i="1"/>
  <c r="E1062" i="1"/>
  <c r="B1062" i="1"/>
  <c r="I1061" i="1"/>
  <c r="E1061" i="1"/>
  <c r="B1061" i="1"/>
  <c r="I1060" i="1"/>
  <c r="E1060" i="1"/>
  <c r="B1060" i="1"/>
  <c r="I1059" i="1"/>
  <c r="E1059" i="1"/>
  <c r="B1059" i="1"/>
  <c r="I1058" i="1"/>
  <c r="E1058" i="1"/>
  <c r="B1058" i="1"/>
  <c r="I1057" i="1"/>
  <c r="E1057" i="1"/>
  <c r="B1057" i="1"/>
  <c r="I1056" i="1"/>
  <c r="E1056" i="1"/>
  <c r="B1056" i="1"/>
  <c r="I1055" i="1"/>
  <c r="E1055" i="1"/>
  <c r="B1055" i="1"/>
  <c r="I1054" i="1"/>
  <c r="E1054" i="1"/>
  <c r="B1054" i="1"/>
  <c r="I1053" i="1"/>
  <c r="E1053" i="1"/>
  <c r="B1053" i="1"/>
  <c r="I1052" i="1"/>
  <c r="E1052" i="1"/>
  <c r="B1052" i="1"/>
  <c r="I1051" i="1"/>
  <c r="E1051" i="1"/>
  <c r="B1051" i="1"/>
  <c r="I1050" i="1"/>
  <c r="E1050" i="1"/>
  <c r="B1050" i="1"/>
  <c r="I1049" i="1"/>
  <c r="E1049" i="1"/>
  <c r="B1049" i="1"/>
  <c r="I1048" i="1"/>
  <c r="E1048" i="1"/>
  <c r="B1048" i="1"/>
  <c r="I1047" i="1"/>
  <c r="E1047" i="1"/>
  <c r="B1047" i="1"/>
  <c r="I1046" i="1"/>
  <c r="E1046" i="1"/>
  <c r="B1046" i="1"/>
  <c r="I1045" i="1"/>
  <c r="E1045" i="1"/>
  <c r="B1045" i="1"/>
  <c r="I1044" i="1"/>
  <c r="E1044" i="1"/>
  <c r="B1044" i="1"/>
  <c r="I1043" i="1"/>
  <c r="E1043" i="1"/>
  <c r="B1043" i="1"/>
  <c r="I1042" i="1"/>
  <c r="E1042" i="1"/>
  <c r="B1042" i="1"/>
  <c r="I1041" i="1"/>
  <c r="E1041" i="1"/>
  <c r="B1041" i="1"/>
  <c r="I1040" i="1"/>
  <c r="E1040" i="1"/>
  <c r="B1040" i="1"/>
  <c r="I1039" i="1"/>
  <c r="E1039" i="1"/>
  <c r="B1039" i="1"/>
  <c r="I1038" i="1"/>
  <c r="E1038" i="1"/>
  <c r="B1038" i="1"/>
  <c r="I1037" i="1"/>
  <c r="E1037" i="1"/>
  <c r="B1037" i="1"/>
  <c r="I1036" i="1"/>
  <c r="E1036" i="1"/>
  <c r="B1036" i="1"/>
  <c r="I1035" i="1"/>
  <c r="E1035" i="1"/>
  <c r="B1035" i="1"/>
  <c r="I1034" i="1"/>
  <c r="E1034" i="1"/>
  <c r="B1034" i="1"/>
  <c r="I1033" i="1"/>
  <c r="E1033" i="1"/>
  <c r="B1033" i="1"/>
  <c r="I1032" i="1"/>
  <c r="E1032" i="1"/>
  <c r="B1032" i="1"/>
  <c r="I1031" i="1"/>
  <c r="E1031" i="1"/>
  <c r="B1031" i="1"/>
  <c r="I1030" i="1"/>
  <c r="E1030" i="1"/>
  <c r="B1030" i="1"/>
  <c r="I1029" i="1"/>
  <c r="E1029" i="1"/>
  <c r="B1029" i="1"/>
  <c r="I1028" i="1"/>
  <c r="E1028" i="1"/>
  <c r="B1028" i="1"/>
  <c r="I1027" i="1"/>
  <c r="E1027" i="1"/>
  <c r="B1027" i="1"/>
  <c r="I1026" i="1"/>
  <c r="E1026" i="1"/>
  <c r="B1026" i="1"/>
  <c r="I1025" i="1"/>
  <c r="E1025" i="1"/>
  <c r="B1025" i="1"/>
  <c r="I1024" i="1"/>
  <c r="E1024" i="1"/>
  <c r="B1024" i="1"/>
  <c r="I1023" i="1"/>
  <c r="E1023" i="1"/>
  <c r="B1023" i="1"/>
  <c r="I1022" i="1"/>
  <c r="E1022" i="1"/>
  <c r="B1022" i="1"/>
  <c r="I1021" i="1"/>
  <c r="E1021" i="1"/>
  <c r="B1021" i="1"/>
  <c r="I1020" i="1"/>
  <c r="E1020" i="1"/>
  <c r="B1020" i="1"/>
  <c r="I1019" i="1"/>
  <c r="E1019" i="1"/>
  <c r="B1019" i="1"/>
  <c r="I1018" i="1"/>
  <c r="E1018" i="1"/>
  <c r="B1018" i="1"/>
  <c r="I1017" i="1"/>
  <c r="E1017" i="1"/>
  <c r="B1017" i="1"/>
  <c r="I1016" i="1"/>
  <c r="E1016" i="1"/>
  <c r="B1016" i="1"/>
  <c r="I1015" i="1"/>
  <c r="E1015" i="1"/>
  <c r="B1015" i="1"/>
  <c r="I1014" i="1"/>
  <c r="E1014" i="1"/>
  <c r="B1014" i="1"/>
  <c r="I1013" i="1"/>
  <c r="E1013" i="1"/>
  <c r="B1013" i="1"/>
  <c r="I1012" i="1"/>
  <c r="E1012" i="1"/>
  <c r="B1012" i="1"/>
  <c r="I1011" i="1"/>
  <c r="E1011" i="1"/>
  <c r="B1011" i="1"/>
  <c r="I1010" i="1"/>
  <c r="E1010" i="1"/>
  <c r="B1010" i="1"/>
  <c r="I1009" i="1"/>
  <c r="E1009" i="1"/>
  <c r="B1009" i="1"/>
  <c r="I1008" i="1"/>
  <c r="E1008" i="1"/>
  <c r="B1008" i="1"/>
  <c r="I1007" i="1"/>
  <c r="E1007" i="1"/>
  <c r="B1007" i="1"/>
  <c r="I1006" i="1"/>
  <c r="E1006" i="1"/>
  <c r="B1006" i="1"/>
  <c r="I1005" i="1"/>
  <c r="E1005" i="1"/>
  <c r="B1005" i="1"/>
  <c r="I1004" i="1"/>
  <c r="E1004" i="1"/>
  <c r="B1004" i="1"/>
  <c r="I1003" i="1"/>
  <c r="E1003" i="1"/>
  <c r="B1003" i="1"/>
  <c r="I1002" i="1"/>
  <c r="E1002" i="1"/>
  <c r="B1002" i="1"/>
  <c r="I1001" i="1"/>
  <c r="E1001" i="1"/>
  <c r="B1001" i="1"/>
  <c r="I1000" i="1"/>
  <c r="E1000" i="1"/>
  <c r="B1000" i="1"/>
  <c r="I999" i="1"/>
  <c r="E999" i="1"/>
  <c r="B999" i="1"/>
  <c r="I998" i="1"/>
  <c r="E998" i="1"/>
  <c r="B998" i="1"/>
  <c r="I997" i="1"/>
  <c r="E997" i="1"/>
  <c r="B997" i="1"/>
  <c r="I996" i="1"/>
  <c r="E996" i="1"/>
  <c r="B996" i="1"/>
  <c r="I995" i="1"/>
  <c r="E995" i="1"/>
  <c r="B995" i="1"/>
  <c r="I994" i="1"/>
  <c r="E994" i="1"/>
  <c r="B994" i="1"/>
  <c r="I993" i="1"/>
  <c r="E993" i="1"/>
  <c r="B993" i="1"/>
  <c r="I992" i="1"/>
  <c r="E992" i="1"/>
  <c r="B992" i="1"/>
  <c r="I991" i="1"/>
  <c r="E991" i="1"/>
  <c r="B991" i="1"/>
  <c r="I990" i="1"/>
  <c r="E990" i="1"/>
  <c r="B990" i="1"/>
  <c r="I989" i="1"/>
  <c r="E989" i="1"/>
  <c r="B989" i="1"/>
  <c r="I988" i="1"/>
  <c r="E988" i="1"/>
  <c r="B988" i="1"/>
  <c r="I987" i="1"/>
  <c r="E987" i="1"/>
  <c r="B987" i="1"/>
  <c r="I986" i="1"/>
  <c r="E986" i="1"/>
  <c r="B986" i="1"/>
  <c r="I985" i="1"/>
  <c r="E985" i="1"/>
  <c r="B985" i="1"/>
  <c r="I984" i="1"/>
  <c r="E984" i="1"/>
  <c r="B984" i="1"/>
  <c r="I983" i="1"/>
  <c r="E983" i="1"/>
  <c r="B983" i="1"/>
  <c r="I982" i="1"/>
  <c r="E982" i="1"/>
  <c r="B982" i="1"/>
  <c r="I981" i="1"/>
  <c r="E981" i="1"/>
  <c r="B981" i="1"/>
  <c r="I980" i="1"/>
  <c r="E980" i="1"/>
  <c r="B980" i="1"/>
  <c r="I979" i="1"/>
  <c r="E979" i="1"/>
  <c r="B979" i="1"/>
  <c r="I978" i="1"/>
  <c r="E978" i="1"/>
  <c r="B978" i="1"/>
  <c r="I977" i="1"/>
  <c r="E977" i="1"/>
  <c r="B977" i="1"/>
  <c r="I976" i="1"/>
  <c r="E976" i="1"/>
  <c r="B976" i="1"/>
  <c r="I975" i="1"/>
  <c r="E975" i="1"/>
  <c r="B975" i="1"/>
  <c r="I974" i="1"/>
  <c r="E974" i="1"/>
  <c r="B974" i="1"/>
  <c r="I973" i="1"/>
  <c r="E973" i="1"/>
  <c r="B973" i="1"/>
  <c r="I972" i="1"/>
  <c r="E972" i="1"/>
  <c r="B972" i="1"/>
  <c r="I971" i="1"/>
  <c r="E971" i="1"/>
  <c r="B971" i="1"/>
  <c r="I970" i="1"/>
  <c r="E970" i="1"/>
  <c r="B970" i="1"/>
  <c r="I969" i="1"/>
  <c r="E969" i="1"/>
  <c r="B969" i="1"/>
  <c r="I968" i="1"/>
  <c r="E968" i="1"/>
  <c r="B968" i="1"/>
  <c r="I967" i="1"/>
  <c r="E967" i="1"/>
  <c r="B967" i="1"/>
  <c r="I966" i="1"/>
  <c r="E966" i="1"/>
  <c r="B966" i="1"/>
  <c r="I965" i="1"/>
  <c r="E965" i="1"/>
  <c r="B965" i="1"/>
  <c r="I964" i="1"/>
  <c r="E964" i="1"/>
  <c r="B964" i="1"/>
  <c r="I963" i="1"/>
  <c r="E963" i="1"/>
  <c r="B963" i="1"/>
  <c r="I962" i="1"/>
  <c r="E962" i="1"/>
  <c r="B962" i="1"/>
  <c r="I961" i="1"/>
  <c r="E961" i="1"/>
  <c r="B961" i="1"/>
  <c r="I960" i="1"/>
  <c r="E960" i="1"/>
  <c r="B960" i="1"/>
  <c r="I959" i="1"/>
  <c r="E959" i="1"/>
  <c r="B959" i="1"/>
  <c r="I958" i="1"/>
  <c r="E958" i="1"/>
  <c r="B958" i="1"/>
  <c r="I957" i="1"/>
  <c r="E957" i="1"/>
  <c r="B957" i="1"/>
  <c r="I956" i="1"/>
  <c r="E956" i="1"/>
  <c r="B956" i="1"/>
  <c r="I955" i="1"/>
  <c r="E955" i="1"/>
  <c r="B955" i="1"/>
  <c r="I954" i="1"/>
  <c r="E954" i="1"/>
  <c r="B954" i="1"/>
  <c r="I953" i="1"/>
  <c r="E953" i="1"/>
  <c r="B953" i="1"/>
  <c r="I952" i="1"/>
  <c r="E952" i="1"/>
  <c r="B952" i="1"/>
  <c r="I951" i="1"/>
  <c r="E951" i="1"/>
  <c r="B951" i="1"/>
  <c r="I950" i="1"/>
  <c r="E950" i="1"/>
  <c r="B950" i="1"/>
  <c r="I949" i="1"/>
  <c r="E949" i="1"/>
  <c r="B949" i="1"/>
  <c r="I948" i="1"/>
  <c r="E948" i="1"/>
  <c r="B948" i="1"/>
  <c r="I947" i="1"/>
  <c r="E947" i="1"/>
  <c r="B947" i="1"/>
  <c r="I946" i="1"/>
  <c r="E946" i="1"/>
  <c r="B946" i="1"/>
  <c r="I945" i="1"/>
  <c r="E945" i="1"/>
  <c r="B945" i="1"/>
  <c r="I944" i="1"/>
  <c r="E944" i="1"/>
  <c r="B944" i="1"/>
  <c r="I943" i="1"/>
  <c r="E943" i="1"/>
  <c r="B943" i="1"/>
  <c r="I942" i="1"/>
  <c r="E942" i="1"/>
  <c r="B942" i="1"/>
  <c r="I941" i="1"/>
  <c r="E941" i="1"/>
  <c r="B941" i="1"/>
  <c r="I940" i="1"/>
  <c r="E940" i="1"/>
  <c r="B940" i="1"/>
  <c r="I939" i="1"/>
  <c r="E939" i="1"/>
  <c r="B939" i="1"/>
  <c r="I938" i="1"/>
  <c r="E938" i="1"/>
  <c r="B938" i="1"/>
  <c r="I937" i="1"/>
  <c r="E937" i="1"/>
  <c r="B937" i="1"/>
  <c r="I936" i="1"/>
  <c r="E936" i="1"/>
  <c r="B936" i="1"/>
  <c r="I935" i="1"/>
  <c r="E935" i="1"/>
  <c r="B935" i="1"/>
  <c r="I934" i="1"/>
  <c r="E934" i="1"/>
  <c r="B934" i="1"/>
  <c r="I933" i="1"/>
  <c r="E933" i="1"/>
  <c r="B933" i="1"/>
  <c r="I932" i="1"/>
  <c r="E932" i="1"/>
  <c r="B932" i="1"/>
  <c r="I931" i="1"/>
  <c r="E931" i="1"/>
  <c r="B931" i="1"/>
  <c r="I930" i="1"/>
  <c r="E930" i="1"/>
  <c r="B930" i="1"/>
  <c r="I929" i="1"/>
  <c r="E929" i="1"/>
  <c r="B929" i="1"/>
  <c r="I928" i="1"/>
  <c r="E928" i="1"/>
  <c r="B928" i="1"/>
  <c r="I927" i="1"/>
  <c r="E927" i="1"/>
  <c r="B927" i="1"/>
  <c r="I926" i="1"/>
  <c r="E926" i="1"/>
  <c r="B926" i="1"/>
  <c r="I925" i="1"/>
  <c r="E925" i="1"/>
  <c r="B925" i="1"/>
  <c r="I924" i="1"/>
  <c r="E924" i="1"/>
  <c r="B924" i="1"/>
  <c r="I923" i="1"/>
  <c r="E923" i="1"/>
  <c r="B923" i="1"/>
  <c r="I922" i="1"/>
  <c r="E922" i="1"/>
  <c r="B922" i="1"/>
  <c r="I921" i="1"/>
  <c r="E921" i="1"/>
  <c r="B921" i="1"/>
  <c r="I920" i="1"/>
  <c r="E920" i="1"/>
  <c r="B920" i="1"/>
  <c r="I919" i="1"/>
  <c r="E919" i="1"/>
  <c r="B919" i="1"/>
  <c r="I918" i="1"/>
  <c r="E918" i="1"/>
  <c r="B918" i="1"/>
  <c r="I917" i="1"/>
  <c r="E917" i="1"/>
  <c r="B917" i="1"/>
  <c r="I916" i="1"/>
  <c r="E916" i="1"/>
  <c r="B916" i="1"/>
  <c r="I915" i="1"/>
  <c r="E915" i="1"/>
  <c r="B915" i="1"/>
  <c r="I914" i="1"/>
  <c r="E914" i="1"/>
  <c r="B914" i="1"/>
  <c r="I913" i="1"/>
  <c r="E913" i="1"/>
  <c r="B913" i="1"/>
  <c r="I912" i="1"/>
  <c r="E912" i="1"/>
  <c r="B912" i="1"/>
  <c r="I911" i="1"/>
  <c r="E911" i="1"/>
  <c r="B911" i="1"/>
  <c r="I910" i="1"/>
  <c r="E910" i="1"/>
  <c r="B910" i="1"/>
  <c r="I909" i="1"/>
  <c r="E909" i="1"/>
  <c r="B909" i="1"/>
  <c r="I908" i="1"/>
  <c r="E908" i="1"/>
  <c r="B908" i="1"/>
  <c r="I907" i="1"/>
  <c r="E907" i="1"/>
  <c r="B907" i="1"/>
  <c r="I906" i="1"/>
  <c r="E906" i="1"/>
  <c r="B906" i="1"/>
  <c r="I905" i="1"/>
  <c r="E905" i="1"/>
  <c r="B905" i="1"/>
  <c r="I904" i="1"/>
  <c r="E904" i="1"/>
  <c r="B904" i="1"/>
  <c r="I903" i="1"/>
  <c r="E903" i="1"/>
  <c r="B903" i="1"/>
  <c r="I902" i="1"/>
  <c r="E902" i="1"/>
  <c r="B902" i="1"/>
  <c r="I901" i="1"/>
  <c r="E901" i="1"/>
  <c r="B901" i="1"/>
  <c r="I900" i="1"/>
  <c r="E900" i="1"/>
  <c r="B900" i="1"/>
  <c r="I899" i="1"/>
  <c r="E899" i="1"/>
  <c r="B899" i="1"/>
  <c r="I898" i="1"/>
  <c r="E898" i="1"/>
  <c r="B898" i="1"/>
  <c r="I897" i="1"/>
  <c r="E897" i="1"/>
  <c r="B897" i="1"/>
  <c r="I896" i="1"/>
  <c r="E896" i="1"/>
  <c r="B896" i="1"/>
  <c r="I895" i="1"/>
  <c r="E895" i="1"/>
  <c r="B895" i="1"/>
  <c r="I894" i="1"/>
  <c r="E894" i="1"/>
  <c r="B894" i="1"/>
  <c r="I893" i="1"/>
  <c r="E893" i="1"/>
  <c r="B893" i="1"/>
  <c r="I892" i="1"/>
  <c r="E892" i="1"/>
  <c r="B892" i="1"/>
  <c r="I891" i="1"/>
  <c r="E891" i="1"/>
  <c r="B891" i="1"/>
  <c r="I890" i="1"/>
  <c r="E890" i="1"/>
  <c r="B890" i="1"/>
  <c r="I889" i="1"/>
  <c r="E889" i="1"/>
  <c r="B889" i="1"/>
  <c r="I888" i="1"/>
  <c r="E888" i="1"/>
  <c r="B888" i="1"/>
  <c r="I887" i="1"/>
  <c r="E887" i="1"/>
  <c r="B887" i="1"/>
  <c r="I886" i="1"/>
  <c r="E886" i="1"/>
  <c r="B886" i="1"/>
  <c r="I885" i="1"/>
  <c r="E885" i="1"/>
  <c r="B885" i="1"/>
  <c r="I884" i="1"/>
  <c r="E884" i="1"/>
  <c r="B884" i="1"/>
  <c r="I883" i="1"/>
  <c r="E883" i="1"/>
  <c r="B883" i="1"/>
  <c r="I882" i="1"/>
  <c r="E882" i="1"/>
  <c r="B882" i="1"/>
  <c r="I881" i="1"/>
  <c r="E881" i="1"/>
  <c r="B881" i="1"/>
  <c r="I880" i="1"/>
  <c r="E880" i="1"/>
  <c r="B880" i="1"/>
  <c r="I879" i="1"/>
  <c r="E879" i="1"/>
  <c r="B879" i="1"/>
  <c r="I878" i="1"/>
  <c r="E878" i="1"/>
  <c r="B878" i="1"/>
  <c r="I877" i="1"/>
  <c r="E877" i="1"/>
  <c r="B877" i="1"/>
  <c r="I876" i="1"/>
  <c r="E876" i="1"/>
  <c r="B876" i="1"/>
  <c r="I875" i="1"/>
  <c r="E875" i="1"/>
  <c r="B875" i="1"/>
  <c r="I874" i="1"/>
  <c r="E874" i="1"/>
  <c r="B874" i="1"/>
  <c r="I873" i="1"/>
  <c r="E873" i="1"/>
  <c r="B873" i="1"/>
  <c r="I872" i="1"/>
  <c r="E872" i="1"/>
  <c r="B872" i="1"/>
  <c r="I871" i="1"/>
  <c r="E871" i="1"/>
  <c r="B871" i="1"/>
  <c r="I870" i="1"/>
  <c r="E870" i="1"/>
  <c r="B870" i="1"/>
  <c r="I869" i="1"/>
  <c r="E869" i="1"/>
  <c r="B869" i="1"/>
  <c r="I868" i="1"/>
  <c r="E868" i="1"/>
  <c r="B868" i="1"/>
  <c r="I867" i="1"/>
  <c r="E867" i="1"/>
  <c r="B867" i="1"/>
  <c r="I866" i="1"/>
  <c r="E866" i="1"/>
  <c r="B866" i="1"/>
  <c r="I865" i="1"/>
  <c r="E865" i="1"/>
  <c r="B865" i="1"/>
  <c r="I864" i="1"/>
  <c r="E864" i="1"/>
  <c r="B864" i="1"/>
  <c r="I863" i="1"/>
  <c r="E863" i="1"/>
  <c r="B863" i="1"/>
  <c r="I862" i="1"/>
  <c r="E862" i="1"/>
  <c r="B862" i="1"/>
  <c r="I861" i="1"/>
  <c r="E861" i="1"/>
  <c r="B861" i="1"/>
  <c r="I860" i="1"/>
  <c r="E860" i="1"/>
  <c r="B860" i="1"/>
  <c r="I859" i="1"/>
  <c r="E859" i="1"/>
  <c r="B859" i="1"/>
  <c r="I858" i="1"/>
  <c r="E858" i="1"/>
  <c r="B858" i="1"/>
  <c r="I857" i="1"/>
  <c r="E857" i="1"/>
  <c r="B857" i="1"/>
  <c r="I856" i="1"/>
  <c r="E856" i="1"/>
  <c r="B856" i="1"/>
  <c r="I855" i="1"/>
  <c r="E855" i="1"/>
  <c r="B855" i="1"/>
  <c r="I854" i="1"/>
  <c r="E854" i="1"/>
  <c r="B854" i="1"/>
  <c r="I853" i="1"/>
  <c r="E853" i="1"/>
  <c r="B853" i="1"/>
  <c r="I852" i="1"/>
  <c r="E852" i="1"/>
  <c r="B852" i="1"/>
  <c r="I851" i="1"/>
  <c r="E851" i="1"/>
  <c r="B851" i="1"/>
  <c r="I850" i="1"/>
  <c r="E850" i="1"/>
  <c r="B850" i="1"/>
  <c r="I849" i="1"/>
  <c r="E849" i="1"/>
  <c r="B849" i="1"/>
  <c r="I848" i="1"/>
  <c r="E848" i="1"/>
  <c r="B848" i="1"/>
  <c r="I847" i="1"/>
  <c r="E847" i="1"/>
  <c r="B847" i="1"/>
  <c r="I846" i="1"/>
  <c r="E846" i="1"/>
  <c r="B846" i="1"/>
  <c r="I845" i="1"/>
  <c r="E845" i="1"/>
  <c r="B845" i="1"/>
  <c r="I844" i="1"/>
  <c r="E844" i="1"/>
  <c r="B844" i="1"/>
  <c r="I843" i="1"/>
  <c r="E843" i="1"/>
  <c r="B843" i="1"/>
  <c r="I842" i="1"/>
  <c r="E842" i="1"/>
  <c r="B842" i="1"/>
  <c r="I841" i="1"/>
  <c r="E841" i="1"/>
  <c r="B841" i="1"/>
  <c r="I840" i="1"/>
  <c r="E840" i="1"/>
  <c r="B840" i="1"/>
  <c r="I839" i="1"/>
  <c r="E839" i="1"/>
  <c r="B839" i="1"/>
  <c r="I838" i="1"/>
  <c r="E838" i="1"/>
  <c r="B838" i="1"/>
  <c r="I837" i="1"/>
  <c r="E837" i="1"/>
  <c r="B837" i="1"/>
  <c r="I836" i="1"/>
  <c r="E836" i="1"/>
  <c r="B836" i="1"/>
  <c r="I835" i="1"/>
  <c r="E835" i="1"/>
  <c r="B835" i="1"/>
  <c r="I834" i="1"/>
  <c r="E834" i="1"/>
  <c r="B834" i="1"/>
  <c r="I833" i="1"/>
  <c r="E833" i="1"/>
  <c r="B833" i="1"/>
  <c r="I832" i="1"/>
  <c r="E832" i="1"/>
  <c r="B832" i="1"/>
  <c r="I831" i="1"/>
  <c r="E831" i="1"/>
  <c r="B831" i="1"/>
  <c r="I830" i="1"/>
  <c r="E830" i="1"/>
  <c r="B830" i="1"/>
  <c r="I829" i="1"/>
  <c r="E829" i="1"/>
  <c r="B829" i="1"/>
  <c r="I828" i="1"/>
  <c r="E828" i="1"/>
  <c r="B828" i="1"/>
  <c r="I827" i="1"/>
  <c r="E827" i="1"/>
  <c r="B827" i="1"/>
  <c r="I826" i="1"/>
  <c r="E826" i="1"/>
  <c r="B826" i="1"/>
  <c r="I825" i="1"/>
  <c r="E825" i="1"/>
  <c r="B825" i="1"/>
  <c r="I824" i="1"/>
  <c r="E824" i="1"/>
  <c r="B824" i="1"/>
  <c r="I823" i="1"/>
  <c r="E823" i="1"/>
  <c r="B823" i="1"/>
  <c r="I822" i="1"/>
  <c r="E822" i="1"/>
  <c r="B822" i="1"/>
  <c r="I821" i="1"/>
  <c r="E821" i="1"/>
  <c r="B821" i="1"/>
  <c r="I820" i="1"/>
  <c r="E820" i="1"/>
  <c r="B820" i="1"/>
  <c r="I819" i="1"/>
  <c r="E819" i="1"/>
  <c r="B819" i="1"/>
  <c r="I818" i="1"/>
  <c r="E818" i="1"/>
  <c r="B818" i="1"/>
  <c r="I817" i="1"/>
  <c r="E817" i="1"/>
  <c r="B817" i="1"/>
  <c r="I816" i="1"/>
  <c r="E816" i="1"/>
  <c r="B816" i="1"/>
  <c r="I815" i="1"/>
  <c r="E815" i="1"/>
  <c r="B815" i="1"/>
  <c r="I814" i="1"/>
  <c r="E814" i="1"/>
  <c r="B814" i="1"/>
  <c r="I813" i="1"/>
  <c r="E813" i="1"/>
  <c r="B813" i="1"/>
  <c r="I812" i="1"/>
  <c r="E812" i="1"/>
  <c r="B812" i="1"/>
  <c r="I811" i="1"/>
  <c r="E811" i="1"/>
  <c r="B811" i="1"/>
  <c r="I810" i="1"/>
  <c r="E810" i="1"/>
  <c r="B810" i="1"/>
  <c r="I809" i="1"/>
  <c r="E809" i="1"/>
  <c r="B809" i="1"/>
  <c r="I808" i="1"/>
  <c r="E808" i="1"/>
  <c r="B808" i="1"/>
  <c r="I807" i="1"/>
  <c r="E807" i="1"/>
  <c r="B807" i="1"/>
  <c r="I806" i="1"/>
  <c r="E806" i="1"/>
  <c r="B806" i="1"/>
  <c r="I805" i="1"/>
  <c r="E805" i="1"/>
  <c r="B805" i="1"/>
  <c r="I804" i="1"/>
  <c r="E804" i="1"/>
  <c r="B804" i="1"/>
  <c r="I803" i="1"/>
  <c r="E803" i="1"/>
  <c r="B803" i="1"/>
  <c r="I802" i="1"/>
  <c r="E802" i="1"/>
  <c r="B802" i="1"/>
  <c r="I801" i="1"/>
  <c r="E801" i="1"/>
  <c r="B801" i="1"/>
  <c r="I800" i="1"/>
  <c r="E800" i="1"/>
  <c r="B800" i="1"/>
  <c r="I799" i="1"/>
  <c r="E799" i="1"/>
  <c r="B799" i="1"/>
  <c r="I798" i="1"/>
  <c r="E798" i="1"/>
  <c r="B798" i="1"/>
  <c r="I797" i="1"/>
  <c r="E797" i="1"/>
  <c r="B797" i="1"/>
  <c r="I796" i="1"/>
  <c r="E796" i="1"/>
  <c r="B796" i="1"/>
  <c r="I795" i="1"/>
  <c r="E795" i="1"/>
  <c r="B795" i="1"/>
  <c r="I794" i="1"/>
  <c r="E794" i="1"/>
  <c r="B794" i="1"/>
  <c r="I793" i="1"/>
  <c r="E793" i="1"/>
  <c r="B793" i="1"/>
  <c r="I792" i="1"/>
  <c r="E792" i="1"/>
  <c r="B792" i="1"/>
  <c r="I791" i="1"/>
  <c r="E791" i="1"/>
  <c r="B791" i="1"/>
  <c r="I790" i="1"/>
  <c r="E790" i="1"/>
  <c r="B790" i="1"/>
  <c r="I789" i="1"/>
  <c r="E789" i="1"/>
  <c r="B789" i="1"/>
  <c r="I788" i="1"/>
  <c r="E788" i="1"/>
  <c r="B788" i="1"/>
  <c r="I787" i="1"/>
  <c r="E787" i="1"/>
  <c r="B787" i="1"/>
  <c r="I786" i="1"/>
  <c r="E786" i="1"/>
  <c r="B786" i="1"/>
  <c r="I785" i="1"/>
  <c r="E785" i="1"/>
  <c r="B785" i="1"/>
  <c r="I784" i="1"/>
  <c r="E784" i="1"/>
  <c r="B784" i="1"/>
  <c r="I783" i="1"/>
  <c r="E783" i="1"/>
  <c r="B783" i="1"/>
  <c r="I782" i="1"/>
  <c r="E782" i="1"/>
  <c r="B782" i="1"/>
  <c r="I781" i="1"/>
  <c r="E781" i="1"/>
  <c r="B781" i="1"/>
  <c r="I780" i="1"/>
  <c r="E780" i="1"/>
  <c r="B780" i="1"/>
  <c r="I779" i="1"/>
  <c r="E779" i="1"/>
  <c r="B779" i="1"/>
  <c r="I778" i="1"/>
  <c r="E778" i="1"/>
  <c r="B778" i="1"/>
  <c r="I777" i="1"/>
  <c r="E777" i="1"/>
  <c r="B777" i="1"/>
  <c r="I776" i="1"/>
  <c r="E776" i="1"/>
  <c r="B776" i="1"/>
  <c r="I775" i="1"/>
  <c r="E775" i="1"/>
  <c r="B775" i="1"/>
  <c r="I774" i="1"/>
  <c r="E774" i="1"/>
  <c r="B774" i="1"/>
  <c r="I773" i="1"/>
  <c r="E773" i="1"/>
  <c r="B773" i="1"/>
  <c r="I772" i="1"/>
  <c r="E772" i="1"/>
  <c r="B772" i="1"/>
  <c r="I771" i="1"/>
  <c r="E771" i="1"/>
  <c r="B771" i="1"/>
  <c r="I770" i="1"/>
  <c r="E770" i="1"/>
  <c r="B770" i="1"/>
  <c r="I769" i="1"/>
  <c r="E769" i="1"/>
  <c r="B769" i="1"/>
  <c r="I768" i="1"/>
  <c r="E768" i="1"/>
  <c r="B768" i="1"/>
  <c r="I767" i="1"/>
  <c r="E767" i="1"/>
  <c r="B767" i="1"/>
  <c r="I766" i="1"/>
  <c r="E766" i="1"/>
  <c r="B766" i="1"/>
  <c r="I765" i="1"/>
  <c r="E765" i="1"/>
  <c r="B765" i="1"/>
  <c r="I764" i="1"/>
  <c r="E764" i="1"/>
  <c r="B764" i="1"/>
  <c r="I763" i="1"/>
  <c r="E763" i="1"/>
  <c r="B763" i="1"/>
  <c r="I762" i="1"/>
  <c r="E762" i="1"/>
  <c r="B762" i="1"/>
  <c r="I761" i="1"/>
  <c r="E761" i="1"/>
  <c r="B761" i="1"/>
  <c r="I760" i="1"/>
  <c r="E760" i="1"/>
  <c r="B760" i="1"/>
  <c r="I759" i="1"/>
  <c r="E759" i="1"/>
  <c r="B759" i="1"/>
  <c r="I758" i="1"/>
  <c r="E758" i="1"/>
  <c r="B758" i="1"/>
  <c r="I757" i="1"/>
  <c r="E757" i="1"/>
  <c r="B757" i="1"/>
  <c r="I756" i="1"/>
  <c r="E756" i="1"/>
  <c r="B756" i="1"/>
  <c r="I755" i="1"/>
  <c r="E755" i="1"/>
  <c r="B755" i="1"/>
  <c r="I754" i="1"/>
  <c r="E754" i="1"/>
  <c r="B754" i="1"/>
  <c r="I753" i="1"/>
  <c r="E753" i="1"/>
  <c r="B753" i="1"/>
  <c r="I752" i="1"/>
  <c r="E752" i="1"/>
  <c r="B752" i="1"/>
  <c r="I751" i="1"/>
  <c r="E751" i="1"/>
  <c r="B751" i="1"/>
  <c r="I750" i="1"/>
  <c r="E750" i="1"/>
  <c r="B750" i="1"/>
  <c r="I749" i="1"/>
  <c r="E749" i="1"/>
  <c r="B749" i="1"/>
  <c r="I748" i="1"/>
  <c r="E748" i="1"/>
  <c r="B748" i="1"/>
  <c r="I747" i="1"/>
  <c r="E747" i="1"/>
  <c r="B747" i="1"/>
  <c r="I746" i="1"/>
  <c r="E746" i="1"/>
  <c r="B746" i="1"/>
  <c r="I745" i="1"/>
  <c r="E745" i="1"/>
  <c r="B745" i="1"/>
  <c r="I744" i="1"/>
  <c r="E744" i="1"/>
  <c r="B744" i="1"/>
  <c r="I743" i="1"/>
  <c r="E743" i="1"/>
  <c r="B743" i="1"/>
  <c r="I742" i="1"/>
  <c r="E742" i="1"/>
  <c r="B742" i="1"/>
  <c r="I741" i="1"/>
  <c r="E741" i="1"/>
  <c r="B741" i="1"/>
  <c r="I740" i="1"/>
  <c r="E740" i="1"/>
  <c r="B740" i="1"/>
  <c r="I739" i="1"/>
  <c r="E739" i="1"/>
  <c r="B739" i="1"/>
  <c r="I738" i="1"/>
  <c r="E738" i="1"/>
  <c r="B738" i="1"/>
  <c r="I737" i="1"/>
  <c r="E737" i="1"/>
  <c r="B737" i="1"/>
  <c r="I736" i="1"/>
  <c r="E736" i="1"/>
  <c r="B736" i="1"/>
  <c r="I735" i="1"/>
  <c r="E735" i="1"/>
  <c r="B735" i="1"/>
  <c r="I734" i="1"/>
  <c r="E734" i="1"/>
  <c r="B734" i="1"/>
  <c r="I733" i="1"/>
  <c r="E733" i="1"/>
  <c r="B733" i="1"/>
  <c r="I732" i="1"/>
  <c r="E732" i="1"/>
  <c r="B732" i="1"/>
  <c r="I731" i="1"/>
  <c r="E731" i="1"/>
  <c r="B731" i="1"/>
  <c r="I730" i="1"/>
  <c r="E730" i="1"/>
  <c r="B730" i="1"/>
  <c r="I729" i="1"/>
  <c r="E729" i="1"/>
  <c r="B729" i="1"/>
  <c r="I728" i="1"/>
  <c r="E728" i="1"/>
  <c r="B728" i="1"/>
  <c r="I727" i="1"/>
  <c r="E727" i="1"/>
  <c r="B727" i="1"/>
  <c r="I726" i="1"/>
  <c r="E726" i="1"/>
  <c r="B726" i="1"/>
  <c r="I725" i="1"/>
  <c r="E725" i="1"/>
  <c r="B725" i="1"/>
  <c r="I724" i="1"/>
  <c r="E724" i="1"/>
  <c r="B724" i="1"/>
  <c r="I723" i="1"/>
  <c r="E723" i="1"/>
  <c r="B723" i="1"/>
  <c r="I722" i="1"/>
  <c r="E722" i="1"/>
  <c r="B722" i="1"/>
  <c r="I721" i="1"/>
  <c r="E721" i="1"/>
  <c r="B721" i="1"/>
  <c r="I720" i="1"/>
  <c r="E720" i="1"/>
  <c r="B720" i="1"/>
  <c r="I719" i="1"/>
  <c r="E719" i="1"/>
  <c r="B719" i="1"/>
  <c r="I718" i="1"/>
  <c r="E718" i="1"/>
  <c r="B718" i="1"/>
  <c r="I717" i="1"/>
  <c r="E717" i="1"/>
  <c r="B717" i="1"/>
  <c r="I716" i="1"/>
  <c r="E716" i="1"/>
  <c r="B716" i="1"/>
  <c r="I715" i="1"/>
  <c r="E715" i="1"/>
  <c r="B715" i="1"/>
  <c r="I714" i="1"/>
  <c r="E714" i="1"/>
  <c r="B714" i="1"/>
  <c r="I713" i="1"/>
  <c r="E713" i="1"/>
  <c r="B713" i="1"/>
  <c r="I712" i="1"/>
  <c r="E712" i="1"/>
  <c r="B712" i="1"/>
  <c r="I711" i="1"/>
  <c r="E711" i="1"/>
  <c r="B711" i="1"/>
  <c r="I710" i="1"/>
  <c r="E710" i="1"/>
  <c r="B710" i="1"/>
  <c r="I709" i="1"/>
  <c r="E709" i="1"/>
  <c r="B709" i="1"/>
  <c r="I708" i="1"/>
  <c r="E708" i="1"/>
  <c r="B708" i="1"/>
  <c r="I707" i="1"/>
  <c r="E707" i="1"/>
  <c r="B707" i="1"/>
  <c r="I706" i="1"/>
  <c r="E706" i="1"/>
  <c r="B706" i="1"/>
  <c r="I705" i="1"/>
  <c r="E705" i="1"/>
  <c r="B705" i="1"/>
  <c r="I704" i="1"/>
  <c r="E704" i="1"/>
  <c r="B704" i="1"/>
  <c r="I703" i="1"/>
  <c r="E703" i="1"/>
  <c r="B703" i="1"/>
  <c r="I702" i="1"/>
  <c r="E702" i="1"/>
  <c r="B702" i="1"/>
  <c r="I701" i="1"/>
  <c r="E701" i="1"/>
  <c r="B701" i="1"/>
  <c r="I700" i="1"/>
  <c r="E700" i="1"/>
  <c r="B700" i="1"/>
  <c r="I699" i="1"/>
  <c r="E699" i="1"/>
  <c r="B699" i="1"/>
  <c r="I698" i="1"/>
  <c r="E698" i="1"/>
  <c r="B698" i="1"/>
  <c r="I697" i="1"/>
  <c r="E697" i="1"/>
  <c r="B697" i="1"/>
  <c r="I696" i="1"/>
  <c r="E696" i="1"/>
  <c r="B696" i="1"/>
  <c r="I695" i="1"/>
  <c r="E695" i="1"/>
  <c r="B695" i="1"/>
  <c r="I694" i="1"/>
  <c r="E694" i="1"/>
  <c r="B694" i="1"/>
  <c r="I693" i="1"/>
  <c r="E693" i="1"/>
  <c r="B693" i="1"/>
  <c r="I692" i="1"/>
  <c r="E692" i="1"/>
  <c r="B692" i="1"/>
  <c r="I691" i="1"/>
  <c r="E691" i="1"/>
  <c r="B691" i="1"/>
  <c r="I690" i="1"/>
  <c r="E690" i="1"/>
  <c r="B690" i="1"/>
  <c r="I689" i="1"/>
  <c r="E689" i="1"/>
  <c r="B689" i="1"/>
  <c r="I688" i="1"/>
  <c r="E688" i="1"/>
  <c r="B688" i="1"/>
  <c r="I687" i="1"/>
  <c r="E687" i="1"/>
  <c r="B687" i="1"/>
  <c r="I686" i="1"/>
  <c r="E686" i="1"/>
  <c r="B686" i="1"/>
  <c r="I685" i="1"/>
  <c r="E685" i="1"/>
  <c r="B685" i="1"/>
  <c r="I684" i="1"/>
  <c r="E684" i="1"/>
  <c r="B684" i="1"/>
  <c r="I683" i="1"/>
  <c r="E683" i="1"/>
  <c r="B683" i="1"/>
  <c r="I682" i="1"/>
  <c r="E682" i="1"/>
  <c r="B682" i="1"/>
  <c r="I681" i="1"/>
  <c r="E681" i="1"/>
  <c r="B681" i="1"/>
  <c r="I680" i="1"/>
  <c r="E680" i="1"/>
  <c r="B680" i="1"/>
  <c r="I679" i="1"/>
  <c r="E679" i="1"/>
  <c r="B679" i="1"/>
  <c r="I678" i="1"/>
  <c r="E678" i="1"/>
  <c r="B678" i="1"/>
  <c r="I677" i="1"/>
  <c r="E677" i="1"/>
  <c r="B677" i="1"/>
  <c r="I676" i="1"/>
  <c r="E676" i="1"/>
  <c r="B676" i="1"/>
  <c r="I675" i="1"/>
  <c r="E675" i="1"/>
  <c r="B675" i="1"/>
  <c r="I674" i="1"/>
  <c r="E674" i="1"/>
  <c r="B674" i="1"/>
  <c r="I673" i="1"/>
  <c r="E673" i="1"/>
  <c r="B673" i="1"/>
  <c r="I672" i="1"/>
  <c r="E672" i="1"/>
  <c r="B672" i="1"/>
  <c r="I671" i="1"/>
  <c r="E671" i="1"/>
  <c r="B671" i="1"/>
  <c r="I670" i="1"/>
  <c r="E670" i="1"/>
  <c r="B670" i="1"/>
  <c r="I669" i="1"/>
  <c r="E669" i="1"/>
  <c r="B669" i="1"/>
  <c r="I668" i="1"/>
  <c r="E668" i="1"/>
  <c r="B668" i="1"/>
  <c r="I667" i="1"/>
  <c r="E667" i="1"/>
  <c r="B667" i="1"/>
  <c r="I666" i="1"/>
  <c r="E666" i="1"/>
  <c r="B666" i="1"/>
  <c r="I665" i="1"/>
  <c r="E665" i="1"/>
  <c r="B665" i="1"/>
  <c r="I664" i="1"/>
  <c r="E664" i="1"/>
  <c r="B664" i="1"/>
  <c r="I663" i="1"/>
  <c r="E663" i="1"/>
  <c r="B663" i="1"/>
  <c r="I662" i="1"/>
  <c r="E662" i="1"/>
  <c r="B662" i="1"/>
  <c r="I661" i="1"/>
  <c r="E661" i="1"/>
  <c r="B661" i="1"/>
  <c r="I660" i="1"/>
  <c r="E660" i="1"/>
  <c r="B660" i="1"/>
  <c r="I659" i="1"/>
  <c r="E659" i="1"/>
  <c r="B659" i="1"/>
  <c r="I658" i="1"/>
  <c r="E658" i="1"/>
  <c r="B658" i="1"/>
  <c r="I657" i="1"/>
  <c r="E657" i="1"/>
  <c r="B657" i="1"/>
  <c r="I656" i="1"/>
  <c r="E656" i="1"/>
  <c r="B656" i="1"/>
  <c r="I655" i="1"/>
  <c r="E655" i="1"/>
  <c r="B655" i="1"/>
  <c r="I654" i="1"/>
  <c r="E654" i="1"/>
  <c r="B654" i="1"/>
  <c r="I653" i="1"/>
  <c r="E653" i="1"/>
  <c r="B653" i="1"/>
  <c r="I652" i="1"/>
  <c r="E652" i="1"/>
  <c r="B652" i="1"/>
  <c r="I651" i="1"/>
  <c r="E651" i="1"/>
  <c r="B651" i="1"/>
  <c r="I650" i="1"/>
  <c r="E650" i="1"/>
  <c r="B650" i="1"/>
  <c r="I649" i="1"/>
  <c r="E649" i="1"/>
  <c r="B649" i="1"/>
  <c r="I648" i="1"/>
  <c r="E648" i="1"/>
  <c r="B648" i="1"/>
  <c r="I647" i="1"/>
  <c r="E647" i="1"/>
  <c r="B647" i="1"/>
  <c r="I646" i="1"/>
  <c r="E646" i="1"/>
  <c r="B646" i="1"/>
  <c r="I645" i="1"/>
  <c r="E645" i="1"/>
  <c r="B645" i="1"/>
  <c r="I644" i="1"/>
  <c r="E644" i="1"/>
  <c r="B644" i="1"/>
  <c r="I643" i="1"/>
  <c r="E643" i="1"/>
  <c r="B643" i="1"/>
  <c r="I642" i="1"/>
  <c r="E642" i="1"/>
  <c r="B642" i="1"/>
  <c r="I641" i="1"/>
  <c r="E641" i="1"/>
  <c r="B641" i="1"/>
  <c r="I640" i="1"/>
  <c r="E640" i="1"/>
  <c r="B640" i="1"/>
  <c r="I639" i="1"/>
  <c r="E639" i="1"/>
  <c r="B639" i="1"/>
  <c r="I638" i="1"/>
  <c r="E638" i="1"/>
  <c r="B638" i="1"/>
  <c r="I637" i="1"/>
  <c r="E637" i="1"/>
  <c r="B637" i="1"/>
  <c r="I636" i="1"/>
  <c r="E636" i="1"/>
  <c r="B636" i="1"/>
  <c r="I635" i="1"/>
  <c r="E635" i="1"/>
  <c r="B635" i="1"/>
  <c r="I634" i="1"/>
  <c r="E634" i="1"/>
  <c r="B634" i="1"/>
  <c r="I633" i="1"/>
  <c r="E633" i="1"/>
  <c r="B633" i="1"/>
  <c r="I632" i="1"/>
  <c r="E632" i="1"/>
  <c r="B632" i="1"/>
  <c r="I631" i="1"/>
  <c r="E631" i="1"/>
  <c r="B631" i="1"/>
  <c r="I630" i="1"/>
  <c r="E630" i="1"/>
  <c r="B630" i="1"/>
  <c r="I629" i="1"/>
  <c r="E629" i="1"/>
  <c r="B629" i="1"/>
  <c r="I628" i="1"/>
  <c r="E628" i="1"/>
  <c r="B628" i="1"/>
  <c r="I627" i="1"/>
  <c r="E627" i="1"/>
  <c r="B627" i="1"/>
  <c r="I626" i="1"/>
  <c r="E626" i="1"/>
  <c r="B626" i="1"/>
  <c r="I625" i="1"/>
  <c r="E625" i="1"/>
  <c r="B625" i="1"/>
  <c r="I624" i="1"/>
  <c r="E624" i="1"/>
  <c r="B624" i="1"/>
  <c r="I623" i="1"/>
  <c r="E623" i="1"/>
  <c r="B623" i="1"/>
  <c r="I622" i="1"/>
  <c r="E622" i="1"/>
  <c r="B622" i="1"/>
  <c r="I621" i="1"/>
  <c r="E621" i="1"/>
  <c r="B621" i="1"/>
  <c r="I620" i="1"/>
  <c r="E620" i="1"/>
  <c r="B620" i="1"/>
  <c r="I619" i="1"/>
  <c r="E619" i="1"/>
  <c r="B619" i="1"/>
  <c r="I618" i="1"/>
  <c r="E618" i="1"/>
  <c r="B618" i="1"/>
  <c r="I617" i="1"/>
  <c r="E617" i="1"/>
  <c r="B617" i="1"/>
  <c r="I616" i="1"/>
  <c r="E616" i="1"/>
  <c r="B616" i="1"/>
  <c r="I615" i="1"/>
  <c r="E615" i="1"/>
  <c r="B615" i="1"/>
  <c r="I614" i="1"/>
  <c r="E614" i="1"/>
  <c r="B614" i="1"/>
  <c r="I613" i="1"/>
  <c r="E613" i="1"/>
  <c r="B613" i="1"/>
  <c r="I612" i="1"/>
  <c r="E612" i="1"/>
  <c r="B612" i="1"/>
  <c r="I611" i="1"/>
  <c r="E611" i="1"/>
  <c r="B611" i="1"/>
  <c r="I610" i="1"/>
  <c r="E610" i="1"/>
  <c r="B610" i="1"/>
  <c r="I609" i="1"/>
  <c r="E609" i="1"/>
  <c r="B609" i="1"/>
  <c r="I608" i="1"/>
  <c r="E608" i="1"/>
  <c r="B608" i="1"/>
  <c r="I607" i="1"/>
  <c r="E607" i="1"/>
  <c r="B607" i="1"/>
  <c r="I606" i="1"/>
  <c r="E606" i="1"/>
  <c r="B606" i="1"/>
  <c r="I605" i="1"/>
  <c r="E605" i="1"/>
  <c r="B605" i="1"/>
  <c r="I604" i="1"/>
  <c r="E604" i="1"/>
  <c r="B604" i="1"/>
  <c r="I603" i="1"/>
  <c r="E603" i="1"/>
  <c r="B603" i="1"/>
  <c r="I602" i="1"/>
  <c r="E602" i="1"/>
  <c r="B602" i="1"/>
  <c r="I601" i="1"/>
  <c r="E601" i="1"/>
  <c r="B601" i="1"/>
  <c r="I600" i="1"/>
  <c r="E600" i="1"/>
  <c r="B600" i="1"/>
  <c r="I599" i="1"/>
  <c r="E599" i="1"/>
  <c r="B599" i="1"/>
  <c r="I598" i="1"/>
  <c r="E598" i="1"/>
  <c r="B598" i="1"/>
  <c r="I597" i="1"/>
  <c r="E597" i="1"/>
  <c r="B597" i="1"/>
  <c r="I596" i="1"/>
  <c r="E596" i="1"/>
  <c r="B596" i="1"/>
  <c r="I595" i="1"/>
  <c r="E595" i="1"/>
  <c r="B595" i="1"/>
  <c r="I594" i="1"/>
  <c r="E594" i="1"/>
  <c r="B594" i="1"/>
  <c r="I593" i="1"/>
  <c r="E593" i="1"/>
  <c r="B593" i="1"/>
  <c r="I592" i="1"/>
  <c r="E592" i="1"/>
  <c r="B592" i="1"/>
  <c r="I591" i="1"/>
  <c r="E591" i="1"/>
  <c r="B591" i="1"/>
  <c r="I590" i="1"/>
  <c r="E590" i="1"/>
  <c r="B590" i="1"/>
  <c r="I589" i="1"/>
  <c r="E589" i="1"/>
  <c r="B589" i="1"/>
  <c r="I588" i="1"/>
  <c r="E588" i="1"/>
  <c r="B588" i="1"/>
  <c r="I587" i="1"/>
  <c r="E587" i="1"/>
  <c r="B587" i="1"/>
  <c r="I586" i="1"/>
  <c r="E586" i="1"/>
  <c r="B586" i="1"/>
  <c r="I585" i="1"/>
  <c r="E585" i="1"/>
  <c r="B585" i="1"/>
  <c r="I584" i="1"/>
  <c r="E584" i="1"/>
  <c r="B584" i="1"/>
  <c r="I583" i="1"/>
  <c r="E583" i="1"/>
  <c r="B583" i="1"/>
  <c r="I582" i="1"/>
  <c r="E582" i="1"/>
  <c r="B582" i="1"/>
  <c r="I581" i="1"/>
  <c r="E581" i="1"/>
  <c r="B581" i="1"/>
  <c r="I580" i="1"/>
  <c r="E580" i="1"/>
  <c r="B580" i="1"/>
  <c r="I579" i="1"/>
  <c r="E579" i="1"/>
  <c r="B579" i="1"/>
  <c r="I578" i="1"/>
  <c r="E578" i="1"/>
  <c r="B578" i="1"/>
  <c r="I577" i="1"/>
  <c r="E577" i="1"/>
  <c r="B577" i="1"/>
  <c r="I576" i="1"/>
  <c r="E576" i="1"/>
  <c r="B576" i="1"/>
  <c r="I575" i="1"/>
  <c r="E575" i="1"/>
  <c r="B575" i="1"/>
  <c r="I574" i="1"/>
  <c r="E574" i="1"/>
  <c r="B574" i="1"/>
  <c r="I573" i="1"/>
  <c r="E573" i="1"/>
  <c r="B573" i="1"/>
  <c r="I572" i="1"/>
  <c r="E572" i="1"/>
  <c r="B572" i="1"/>
  <c r="I571" i="1"/>
  <c r="E571" i="1"/>
  <c r="B571" i="1"/>
  <c r="I570" i="1"/>
  <c r="E570" i="1"/>
  <c r="B570" i="1"/>
  <c r="I569" i="1"/>
  <c r="E569" i="1"/>
  <c r="B569" i="1"/>
  <c r="I568" i="1"/>
  <c r="E568" i="1"/>
  <c r="B568" i="1"/>
  <c r="I567" i="1"/>
  <c r="E567" i="1"/>
  <c r="B567" i="1"/>
  <c r="I566" i="1"/>
  <c r="E566" i="1"/>
  <c r="B566" i="1"/>
  <c r="I565" i="1"/>
  <c r="E565" i="1"/>
  <c r="B565" i="1"/>
  <c r="I564" i="1"/>
  <c r="E564" i="1"/>
  <c r="B564" i="1"/>
  <c r="I563" i="1"/>
  <c r="E563" i="1"/>
  <c r="B563" i="1"/>
  <c r="I562" i="1"/>
  <c r="E562" i="1"/>
  <c r="B562" i="1"/>
  <c r="I561" i="1"/>
  <c r="E561" i="1"/>
  <c r="B561" i="1"/>
  <c r="I560" i="1"/>
  <c r="E560" i="1"/>
  <c r="B560" i="1"/>
  <c r="I559" i="1"/>
  <c r="E559" i="1"/>
  <c r="B559" i="1"/>
  <c r="I558" i="1"/>
  <c r="E558" i="1"/>
  <c r="B558" i="1"/>
  <c r="I557" i="1"/>
  <c r="E557" i="1"/>
  <c r="B557" i="1"/>
  <c r="I556" i="1"/>
  <c r="E556" i="1"/>
  <c r="B556" i="1"/>
  <c r="I555" i="1"/>
  <c r="E555" i="1"/>
  <c r="B555" i="1"/>
  <c r="I554" i="1"/>
  <c r="E554" i="1"/>
  <c r="B554" i="1"/>
  <c r="I553" i="1"/>
  <c r="E553" i="1"/>
  <c r="B553" i="1"/>
  <c r="I552" i="1"/>
  <c r="E552" i="1"/>
  <c r="B552" i="1"/>
  <c r="I551" i="1"/>
  <c r="E551" i="1"/>
  <c r="B551" i="1"/>
  <c r="I550" i="1"/>
  <c r="E550" i="1"/>
  <c r="B550" i="1"/>
  <c r="I549" i="1"/>
  <c r="E549" i="1"/>
  <c r="B549" i="1"/>
  <c r="I548" i="1"/>
  <c r="E548" i="1"/>
  <c r="B548" i="1"/>
  <c r="I547" i="1"/>
  <c r="E547" i="1"/>
  <c r="B547" i="1"/>
  <c r="I546" i="1"/>
  <c r="E546" i="1"/>
  <c r="B546" i="1"/>
  <c r="I545" i="1"/>
  <c r="E545" i="1"/>
  <c r="B545" i="1"/>
  <c r="I544" i="1"/>
  <c r="E544" i="1"/>
  <c r="B544" i="1"/>
  <c r="I543" i="1"/>
  <c r="E543" i="1"/>
  <c r="B543" i="1"/>
  <c r="I542" i="1"/>
  <c r="E542" i="1"/>
  <c r="B542" i="1"/>
  <c r="I541" i="1"/>
  <c r="E541" i="1"/>
  <c r="B541" i="1"/>
  <c r="I540" i="1"/>
  <c r="E540" i="1"/>
  <c r="B540" i="1"/>
  <c r="I539" i="1"/>
  <c r="E539" i="1"/>
  <c r="B539" i="1"/>
  <c r="I538" i="1"/>
  <c r="E538" i="1"/>
  <c r="B538" i="1"/>
  <c r="I537" i="1"/>
  <c r="E537" i="1"/>
  <c r="B537" i="1"/>
  <c r="I536" i="1"/>
  <c r="E536" i="1"/>
  <c r="B536" i="1"/>
  <c r="I535" i="1"/>
  <c r="E535" i="1"/>
  <c r="B535" i="1"/>
  <c r="I534" i="1"/>
  <c r="E534" i="1"/>
  <c r="B534" i="1"/>
  <c r="I533" i="1"/>
  <c r="E533" i="1"/>
  <c r="B533" i="1"/>
  <c r="I532" i="1"/>
  <c r="E532" i="1"/>
  <c r="B532" i="1"/>
  <c r="I531" i="1"/>
  <c r="E531" i="1"/>
  <c r="B531" i="1"/>
  <c r="I530" i="1"/>
  <c r="E530" i="1"/>
  <c r="B530" i="1"/>
  <c r="I529" i="1"/>
  <c r="E529" i="1"/>
  <c r="B529" i="1"/>
  <c r="I528" i="1"/>
  <c r="E528" i="1"/>
  <c r="B528" i="1"/>
  <c r="I527" i="1"/>
  <c r="E527" i="1"/>
  <c r="B527" i="1"/>
  <c r="I526" i="1"/>
  <c r="E526" i="1"/>
  <c r="B526" i="1"/>
  <c r="I525" i="1"/>
  <c r="E525" i="1"/>
  <c r="B525" i="1"/>
  <c r="I524" i="1"/>
  <c r="E524" i="1"/>
  <c r="B524" i="1"/>
  <c r="I523" i="1"/>
  <c r="E523" i="1"/>
  <c r="B523" i="1"/>
  <c r="I522" i="1"/>
  <c r="E522" i="1"/>
  <c r="B522" i="1"/>
  <c r="I521" i="1"/>
  <c r="E521" i="1"/>
  <c r="B521" i="1"/>
  <c r="I520" i="1"/>
  <c r="E520" i="1"/>
  <c r="B520" i="1"/>
  <c r="I519" i="1"/>
  <c r="E519" i="1"/>
  <c r="B519" i="1"/>
  <c r="I518" i="1"/>
  <c r="E518" i="1"/>
  <c r="B518" i="1"/>
  <c r="I517" i="1"/>
  <c r="E517" i="1"/>
  <c r="B517" i="1"/>
  <c r="I516" i="1"/>
  <c r="E516" i="1"/>
  <c r="B516" i="1"/>
  <c r="I515" i="1"/>
  <c r="E515" i="1"/>
  <c r="B515" i="1"/>
  <c r="I514" i="1"/>
  <c r="E514" i="1"/>
  <c r="B514" i="1"/>
  <c r="I513" i="1"/>
  <c r="E513" i="1"/>
  <c r="B513" i="1"/>
  <c r="I512" i="1"/>
  <c r="E512" i="1"/>
  <c r="B512" i="1"/>
  <c r="I511" i="1"/>
  <c r="E511" i="1"/>
  <c r="B511" i="1"/>
  <c r="I510" i="1"/>
  <c r="E510" i="1"/>
  <c r="B510" i="1"/>
  <c r="I509" i="1"/>
  <c r="E509" i="1"/>
  <c r="B509" i="1"/>
  <c r="I508" i="1"/>
  <c r="E508" i="1"/>
  <c r="B508" i="1"/>
  <c r="I507" i="1"/>
  <c r="E507" i="1"/>
  <c r="B507" i="1"/>
  <c r="I506" i="1"/>
  <c r="E506" i="1"/>
  <c r="B506" i="1"/>
  <c r="I505" i="1"/>
  <c r="E505" i="1"/>
  <c r="B505" i="1"/>
  <c r="I504" i="1"/>
  <c r="E504" i="1"/>
  <c r="B504" i="1"/>
  <c r="I503" i="1"/>
  <c r="E503" i="1"/>
  <c r="B503" i="1"/>
  <c r="I502" i="1"/>
  <c r="E502" i="1"/>
  <c r="B502" i="1"/>
  <c r="I501" i="1"/>
  <c r="E501" i="1"/>
  <c r="B501" i="1"/>
  <c r="I500" i="1"/>
  <c r="E500" i="1"/>
  <c r="B500" i="1"/>
  <c r="I499" i="1"/>
  <c r="E499" i="1"/>
  <c r="B499" i="1"/>
  <c r="I498" i="1"/>
  <c r="E498" i="1"/>
  <c r="B498" i="1"/>
  <c r="I497" i="1"/>
  <c r="E497" i="1"/>
  <c r="B497" i="1"/>
  <c r="I496" i="1"/>
  <c r="E496" i="1"/>
  <c r="B496" i="1"/>
  <c r="I495" i="1"/>
  <c r="E495" i="1"/>
  <c r="B495" i="1"/>
  <c r="I494" i="1"/>
  <c r="E494" i="1"/>
  <c r="B494" i="1"/>
  <c r="I493" i="1"/>
  <c r="E493" i="1"/>
  <c r="B493" i="1"/>
  <c r="I492" i="1"/>
  <c r="E492" i="1"/>
  <c r="B492" i="1"/>
  <c r="I491" i="1"/>
  <c r="E491" i="1"/>
  <c r="B491" i="1"/>
  <c r="I490" i="1"/>
  <c r="E490" i="1"/>
  <c r="B490" i="1"/>
  <c r="I489" i="1"/>
  <c r="E489" i="1"/>
  <c r="B489" i="1"/>
  <c r="I488" i="1"/>
  <c r="E488" i="1"/>
  <c r="B488" i="1"/>
  <c r="I487" i="1"/>
  <c r="E487" i="1"/>
  <c r="B487" i="1"/>
  <c r="I486" i="1"/>
  <c r="E486" i="1"/>
  <c r="B486" i="1"/>
  <c r="I485" i="1"/>
  <c r="E485" i="1"/>
  <c r="B485" i="1"/>
  <c r="I484" i="1"/>
  <c r="E484" i="1"/>
  <c r="B484" i="1"/>
  <c r="I483" i="1"/>
  <c r="E483" i="1"/>
  <c r="B483" i="1"/>
  <c r="I482" i="1"/>
  <c r="E482" i="1"/>
  <c r="B482" i="1"/>
  <c r="I481" i="1"/>
  <c r="E481" i="1"/>
  <c r="B481" i="1"/>
  <c r="I480" i="1"/>
  <c r="E480" i="1"/>
  <c r="B480" i="1"/>
  <c r="I479" i="1"/>
  <c r="E479" i="1"/>
  <c r="B479" i="1"/>
  <c r="I478" i="1"/>
  <c r="E478" i="1"/>
  <c r="B478" i="1"/>
  <c r="I477" i="1"/>
  <c r="E477" i="1"/>
  <c r="B477" i="1"/>
  <c r="I476" i="1"/>
  <c r="E476" i="1"/>
  <c r="B476" i="1"/>
  <c r="I475" i="1"/>
  <c r="E475" i="1"/>
  <c r="B475" i="1"/>
  <c r="I474" i="1"/>
  <c r="E474" i="1"/>
  <c r="B474" i="1"/>
  <c r="I473" i="1"/>
  <c r="E473" i="1"/>
  <c r="B473" i="1"/>
  <c r="I472" i="1"/>
  <c r="E472" i="1"/>
  <c r="B472" i="1"/>
  <c r="I471" i="1"/>
  <c r="E471" i="1"/>
  <c r="B471" i="1"/>
  <c r="I470" i="1"/>
  <c r="E470" i="1"/>
  <c r="B470" i="1"/>
  <c r="I469" i="1"/>
  <c r="E469" i="1"/>
  <c r="B469" i="1"/>
  <c r="I468" i="1"/>
  <c r="E468" i="1"/>
  <c r="B468" i="1"/>
  <c r="I467" i="1"/>
  <c r="E467" i="1"/>
  <c r="B467" i="1"/>
  <c r="I466" i="1"/>
  <c r="E466" i="1"/>
  <c r="B466" i="1"/>
  <c r="I465" i="1"/>
  <c r="E465" i="1"/>
  <c r="B465" i="1"/>
  <c r="I464" i="1"/>
  <c r="E464" i="1"/>
  <c r="B464" i="1"/>
  <c r="I463" i="1"/>
  <c r="E463" i="1"/>
  <c r="B463" i="1"/>
  <c r="I462" i="1"/>
  <c r="E462" i="1"/>
  <c r="B462" i="1"/>
  <c r="I461" i="1"/>
  <c r="E461" i="1"/>
  <c r="B461" i="1"/>
  <c r="I460" i="1"/>
  <c r="E460" i="1"/>
  <c r="B460" i="1"/>
  <c r="I459" i="1"/>
  <c r="E459" i="1"/>
  <c r="B459" i="1"/>
  <c r="I458" i="1"/>
  <c r="E458" i="1"/>
  <c r="B458" i="1"/>
  <c r="I457" i="1"/>
  <c r="E457" i="1"/>
  <c r="B457" i="1"/>
  <c r="I456" i="1"/>
  <c r="E456" i="1"/>
  <c r="B456" i="1"/>
  <c r="I455" i="1"/>
  <c r="E455" i="1"/>
  <c r="B455" i="1"/>
  <c r="I454" i="1"/>
  <c r="E454" i="1"/>
  <c r="B454" i="1"/>
  <c r="I453" i="1"/>
  <c r="E453" i="1"/>
  <c r="B453" i="1"/>
  <c r="I452" i="1"/>
  <c r="E452" i="1"/>
  <c r="B452" i="1"/>
  <c r="I451" i="1"/>
  <c r="E451" i="1"/>
  <c r="B451" i="1"/>
  <c r="I450" i="1"/>
  <c r="E450" i="1"/>
  <c r="B450" i="1"/>
  <c r="I449" i="1"/>
  <c r="E449" i="1"/>
  <c r="B449" i="1"/>
  <c r="I448" i="1"/>
  <c r="E448" i="1"/>
  <c r="B448" i="1"/>
  <c r="I447" i="1"/>
  <c r="E447" i="1"/>
  <c r="B447" i="1"/>
  <c r="I446" i="1"/>
  <c r="E446" i="1"/>
  <c r="B446" i="1"/>
  <c r="I445" i="1"/>
  <c r="E445" i="1"/>
  <c r="B445" i="1"/>
  <c r="I444" i="1"/>
  <c r="E444" i="1"/>
  <c r="B444" i="1"/>
  <c r="I443" i="1"/>
  <c r="E443" i="1"/>
  <c r="B443" i="1"/>
  <c r="I442" i="1"/>
  <c r="E442" i="1"/>
  <c r="B442" i="1"/>
  <c r="I441" i="1"/>
  <c r="E441" i="1"/>
  <c r="B441" i="1"/>
  <c r="I440" i="1"/>
  <c r="E440" i="1"/>
  <c r="B440" i="1"/>
  <c r="I439" i="1"/>
  <c r="E439" i="1"/>
  <c r="B439" i="1"/>
  <c r="I438" i="1"/>
  <c r="E438" i="1"/>
  <c r="B438" i="1"/>
  <c r="I437" i="1"/>
  <c r="E437" i="1"/>
  <c r="B437" i="1"/>
  <c r="I436" i="1"/>
  <c r="E436" i="1"/>
  <c r="B436" i="1"/>
  <c r="I435" i="1"/>
  <c r="E435" i="1"/>
  <c r="B435" i="1"/>
  <c r="I434" i="1"/>
  <c r="E434" i="1"/>
  <c r="B434" i="1"/>
  <c r="I433" i="1"/>
  <c r="E433" i="1"/>
  <c r="B433" i="1"/>
  <c r="I432" i="1"/>
  <c r="E432" i="1"/>
  <c r="B432" i="1"/>
  <c r="I431" i="1"/>
  <c r="E431" i="1"/>
  <c r="B431" i="1"/>
  <c r="I430" i="1"/>
  <c r="E430" i="1"/>
  <c r="B430" i="1"/>
  <c r="I429" i="1"/>
  <c r="E429" i="1"/>
  <c r="B429" i="1"/>
  <c r="I428" i="1"/>
  <c r="E428" i="1"/>
  <c r="B428" i="1"/>
  <c r="I427" i="1"/>
  <c r="E427" i="1"/>
  <c r="B427" i="1"/>
  <c r="I426" i="1"/>
  <c r="E426" i="1"/>
  <c r="B426" i="1"/>
  <c r="I425" i="1"/>
  <c r="E425" i="1"/>
  <c r="B425" i="1"/>
  <c r="I424" i="1"/>
  <c r="E424" i="1"/>
  <c r="B424" i="1"/>
  <c r="I423" i="1"/>
  <c r="E423" i="1"/>
  <c r="B423" i="1"/>
  <c r="I422" i="1"/>
  <c r="E422" i="1"/>
  <c r="B422" i="1"/>
  <c r="I421" i="1"/>
  <c r="E421" i="1"/>
  <c r="B421" i="1"/>
  <c r="I420" i="1"/>
  <c r="E420" i="1"/>
  <c r="B420" i="1"/>
  <c r="I419" i="1"/>
  <c r="E419" i="1"/>
  <c r="B419" i="1"/>
  <c r="I418" i="1"/>
  <c r="E418" i="1"/>
  <c r="B418" i="1"/>
  <c r="I417" i="1"/>
  <c r="E417" i="1"/>
  <c r="B417" i="1"/>
  <c r="I416" i="1"/>
  <c r="E416" i="1"/>
  <c r="B416" i="1"/>
  <c r="I415" i="1"/>
  <c r="E415" i="1"/>
  <c r="B415" i="1"/>
  <c r="I414" i="1"/>
  <c r="E414" i="1"/>
  <c r="B414" i="1"/>
  <c r="I413" i="1"/>
  <c r="E413" i="1"/>
  <c r="B413" i="1"/>
  <c r="I412" i="1"/>
  <c r="E412" i="1"/>
  <c r="B412" i="1"/>
  <c r="I411" i="1"/>
  <c r="E411" i="1"/>
  <c r="B411" i="1"/>
  <c r="I410" i="1"/>
  <c r="E410" i="1"/>
  <c r="B410" i="1"/>
  <c r="I409" i="1"/>
  <c r="E409" i="1"/>
  <c r="B409" i="1"/>
  <c r="I408" i="1"/>
  <c r="E408" i="1"/>
  <c r="B408" i="1"/>
  <c r="I407" i="1"/>
  <c r="E407" i="1"/>
  <c r="B407" i="1"/>
  <c r="I406" i="1"/>
  <c r="E406" i="1"/>
  <c r="B406" i="1"/>
  <c r="I405" i="1"/>
  <c r="E405" i="1"/>
  <c r="B405" i="1"/>
  <c r="I404" i="1"/>
  <c r="E404" i="1"/>
  <c r="B404" i="1"/>
  <c r="I403" i="1"/>
  <c r="E403" i="1"/>
  <c r="B403" i="1"/>
  <c r="I402" i="1"/>
  <c r="E402" i="1"/>
  <c r="B402" i="1"/>
  <c r="I401" i="1"/>
  <c r="E401" i="1"/>
  <c r="B401" i="1"/>
  <c r="I400" i="1"/>
  <c r="E400" i="1"/>
  <c r="B400" i="1"/>
  <c r="I399" i="1"/>
  <c r="E399" i="1"/>
  <c r="B399" i="1"/>
  <c r="I398" i="1"/>
  <c r="E398" i="1"/>
  <c r="B398" i="1"/>
  <c r="I397" i="1"/>
  <c r="E397" i="1"/>
  <c r="B397" i="1"/>
  <c r="I396" i="1"/>
  <c r="E396" i="1"/>
  <c r="B396" i="1"/>
  <c r="I395" i="1"/>
  <c r="E395" i="1"/>
  <c r="B395" i="1"/>
  <c r="I394" i="1"/>
  <c r="E394" i="1"/>
  <c r="B394" i="1"/>
  <c r="I393" i="1"/>
  <c r="E393" i="1"/>
  <c r="B393" i="1"/>
  <c r="I392" i="1"/>
  <c r="E392" i="1"/>
  <c r="B392" i="1"/>
  <c r="I391" i="1"/>
  <c r="E391" i="1"/>
  <c r="B391" i="1"/>
  <c r="I390" i="1"/>
  <c r="E390" i="1"/>
  <c r="B390" i="1"/>
  <c r="I389" i="1"/>
  <c r="E389" i="1"/>
  <c r="B389" i="1"/>
  <c r="I388" i="1"/>
  <c r="E388" i="1"/>
  <c r="B388" i="1"/>
  <c r="I387" i="1"/>
  <c r="E387" i="1"/>
  <c r="B387" i="1"/>
  <c r="I386" i="1"/>
  <c r="E386" i="1"/>
  <c r="B386" i="1"/>
  <c r="I385" i="1"/>
  <c r="E385" i="1"/>
  <c r="B385" i="1"/>
  <c r="I384" i="1"/>
  <c r="E384" i="1"/>
  <c r="B384" i="1"/>
  <c r="I383" i="1"/>
  <c r="E383" i="1"/>
  <c r="B383" i="1"/>
  <c r="I382" i="1"/>
  <c r="E382" i="1"/>
  <c r="B382" i="1"/>
  <c r="I381" i="1"/>
  <c r="E381" i="1"/>
  <c r="B381" i="1"/>
  <c r="I380" i="1"/>
  <c r="E380" i="1"/>
  <c r="B380" i="1"/>
  <c r="I379" i="1"/>
  <c r="E379" i="1"/>
  <c r="B379" i="1"/>
  <c r="I378" i="1"/>
  <c r="E378" i="1"/>
  <c r="B378" i="1"/>
  <c r="I377" i="1"/>
  <c r="E377" i="1"/>
  <c r="B377" i="1"/>
  <c r="I376" i="1"/>
  <c r="E376" i="1"/>
  <c r="B376" i="1"/>
  <c r="I375" i="1"/>
  <c r="E375" i="1"/>
  <c r="B375" i="1"/>
  <c r="I374" i="1"/>
  <c r="E374" i="1"/>
  <c r="B374" i="1"/>
  <c r="I373" i="1"/>
  <c r="E373" i="1"/>
  <c r="B373" i="1"/>
  <c r="I372" i="1"/>
  <c r="E372" i="1"/>
  <c r="B372" i="1"/>
  <c r="I371" i="1"/>
  <c r="E371" i="1"/>
  <c r="B371" i="1"/>
  <c r="I370" i="1"/>
  <c r="E370" i="1"/>
  <c r="B370" i="1"/>
  <c r="I369" i="1"/>
  <c r="E369" i="1"/>
  <c r="B369" i="1"/>
  <c r="I368" i="1"/>
  <c r="E368" i="1"/>
  <c r="B368" i="1"/>
  <c r="I367" i="1"/>
  <c r="E367" i="1"/>
  <c r="B367" i="1"/>
  <c r="I366" i="1"/>
  <c r="E366" i="1"/>
  <c r="B366" i="1"/>
  <c r="I365" i="1"/>
  <c r="E365" i="1"/>
  <c r="B365" i="1"/>
  <c r="I364" i="1"/>
  <c r="E364" i="1"/>
  <c r="B364" i="1"/>
  <c r="I363" i="1"/>
  <c r="E363" i="1"/>
  <c r="B363" i="1"/>
  <c r="I362" i="1"/>
  <c r="E362" i="1"/>
  <c r="B362" i="1"/>
  <c r="I361" i="1"/>
  <c r="E361" i="1"/>
  <c r="B361" i="1"/>
  <c r="I360" i="1"/>
  <c r="E360" i="1"/>
  <c r="B360" i="1"/>
  <c r="I359" i="1"/>
  <c r="E359" i="1"/>
  <c r="B359" i="1"/>
  <c r="I358" i="1"/>
  <c r="E358" i="1"/>
  <c r="B358" i="1"/>
  <c r="I357" i="1"/>
  <c r="E357" i="1"/>
  <c r="B357" i="1"/>
  <c r="I356" i="1"/>
  <c r="E356" i="1"/>
  <c r="B356" i="1"/>
  <c r="I355" i="1"/>
  <c r="E355" i="1"/>
  <c r="B355" i="1"/>
  <c r="I354" i="1"/>
  <c r="E354" i="1"/>
  <c r="B354" i="1"/>
  <c r="I353" i="1"/>
  <c r="E353" i="1"/>
  <c r="B353" i="1"/>
  <c r="I352" i="1"/>
  <c r="E352" i="1"/>
  <c r="B352" i="1"/>
  <c r="I351" i="1"/>
  <c r="E351" i="1"/>
  <c r="B351" i="1"/>
  <c r="I350" i="1"/>
  <c r="E350" i="1"/>
  <c r="B350" i="1"/>
  <c r="I349" i="1"/>
  <c r="E349" i="1"/>
  <c r="B349" i="1"/>
  <c r="I348" i="1"/>
  <c r="E348" i="1"/>
  <c r="B348" i="1"/>
  <c r="I347" i="1"/>
  <c r="E347" i="1"/>
  <c r="B347" i="1"/>
  <c r="I346" i="1"/>
  <c r="E346" i="1"/>
  <c r="B346" i="1"/>
  <c r="I345" i="1"/>
  <c r="E345" i="1"/>
  <c r="B345" i="1"/>
  <c r="I344" i="1"/>
  <c r="E344" i="1"/>
  <c r="B344" i="1"/>
  <c r="I343" i="1"/>
  <c r="E343" i="1"/>
  <c r="B343" i="1"/>
  <c r="I342" i="1"/>
  <c r="E342" i="1"/>
  <c r="B342" i="1"/>
  <c r="I341" i="1"/>
  <c r="E341" i="1"/>
  <c r="B341" i="1"/>
  <c r="I340" i="1"/>
  <c r="E340" i="1"/>
  <c r="B340" i="1"/>
  <c r="I339" i="1"/>
  <c r="E339" i="1"/>
  <c r="B339" i="1"/>
  <c r="I338" i="1"/>
  <c r="E338" i="1"/>
  <c r="B338" i="1"/>
  <c r="I337" i="1"/>
  <c r="E337" i="1"/>
  <c r="B337" i="1"/>
  <c r="I336" i="1"/>
  <c r="E336" i="1"/>
  <c r="B336" i="1"/>
  <c r="I335" i="1"/>
  <c r="E335" i="1"/>
  <c r="B335" i="1"/>
  <c r="I334" i="1"/>
  <c r="E334" i="1"/>
  <c r="B334" i="1"/>
  <c r="I333" i="1"/>
  <c r="E333" i="1"/>
  <c r="B333" i="1"/>
  <c r="I332" i="1"/>
  <c r="E332" i="1"/>
  <c r="B332" i="1"/>
  <c r="I331" i="1"/>
  <c r="E331" i="1"/>
  <c r="B331" i="1"/>
  <c r="I330" i="1"/>
  <c r="E330" i="1"/>
  <c r="B330" i="1"/>
  <c r="I329" i="1"/>
  <c r="E329" i="1"/>
  <c r="B329" i="1"/>
  <c r="I328" i="1"/>
  <c r="E328" i="1"/>
  <c r="B328" i="1"/>
  <c r="I327" i="1"/>
  <c r="E327" i="1"/>
  <c r="B327" i="1"/>
  <c r="I326" i="1"/>
  <c r="E326" i="1"/>
  <c r="B326" i="1"/>
  <c r="I325" i="1"/>
  <c r="E325" i="1"/>
  <c r="B325" i="1"/>
  <c r="I324" i="1"/>
  <c r="E324" i="1"/>
  <c r="B324" i="1"/>
  <c r="I323" i="1"/>
  <c r="E323" i="1"/>
  <c r="B323" i="1"/>
  <c r="I322" i="1"/>
  <c r="E322" i="1"/>
  <c r="B322" i="1"/>
  <c r="I321" i="1"/>
  <c r="E321" i="1"/>
  <c r="B321" i="1"/>
  <c r="I320" i="1"/>
  <c r="E320" i="1"/>
  <c r="B320" i="1"/>
  <c r="I319" i="1"/>
  <c r="E319" i="1"/>
  <c r="B319" i="1"/>
  <c r="I318" i="1"/>
  <c r="E318" i="1"/>
  <c r="B318" i="1"/>
  <c r="I317" i="1"/>
  <c r="E317" i="1"/>
  <c r="B317" i="1"/>
  <c r="I316" i="1"/>
  <c r="E316" i="1"/>
  <c r="B316" i="1"/>
  <c r="I315" i="1"/>
  <c r="E315" i="1"/>
  <c r="B315" i="1"/>
  <c r="I314" i="1"/>
  <c r="E314" i="1"/>
  <c r="B314" i="1"/>
  <c r="I313" i="1"/>
  <c r="E313" i="1"/>
  <c r="B313" i="1"/>
  <c r="I312" i="1"/>
  <c r="E312" i="1"/>
  <c r="B312" i="1"/>
  <c r="I311" i="1"/>
  <c r="E311" i="1"/>
  <c r="B311" i="1"/>
  <c r="I310" i="1"/>
  <c r="E310" i="1"/>
  <c r="B310" i="1"/>
  <c r="I309" i="1"/>
  <c r="E309" i="1"/>
  <c r="B309" i="1"/>
  <c r="I308" i="1"/>
  <c r="E308" i="1"/>
  <c r="B308" i="1"/>
  <c r="I307" i="1"/>
  <c r="E307" i="1"/>
  <c r="B307" i="1"/>
  <c r="I306" i="1"/>
  <c r="E306" i="1"/>
  <c r="B306" i="1"/>
  <c r="I305" i="1"/>
  <c r="E305" i="1"/>
  <c r="B305" i="1"/>
  <c r="I304" i="1"/>
  <c r="E304" i="1"/>
  <c r="B304" i="1"/>
  <c r="I303" i="1"/>
  <c r="E303" i="1"/>
  <c r="B303" i="1"/>
  <c r="I302" i="1"/>
  <c r="E302" i="1"/>
  <c r="B302" i="1"/>
  <c r="I301" i="1"/>
  <c r="E301" i="1"/>
  <c r="B301" i="1"/>
  <c r="I300" i="1"/>
  <c r="E300" i="1"/>
  <c r="B300" i="1"/>
  <c r="I299" i="1"/>
  <c r="E299" i="1"/>
  <c r="B299" i="1"/>
  <c r="I298" i="1"/>
  <c r="E298" i="1"/>
  <c r="B298" i="1"/>
  <c r="I297" i="1"/>
  <c r="E297" i="1"/>
  <c r="B297" i="1"/>
  <c r="I296" i="1"/>
  <c r="E296" i="1"/>
  <c r="B296" i="1"/>
  <c r="I295" i="1"/>
  <c r="E295" i="1"/>
  <c r="B295" i="1"/>
  <c r="I294" i="1"/>
  <c r="E294" i="1"/>
  <c r="B294" i="1"/>
  <c r="I293" i="1"/>
  <c r="E293" i="1"/>
  <c r="B293" i="1"/>
  <c r="I292" i="1"/>
  <c r="E292" i="1"/>
  <c r="B292" i="1"/>
  <c r="I291" i="1"/>
  <c r="E291" i="1"/>
  <c r="B291" i="1"/>
  <c r="I290" i="1"/>
  <c r="E290" i="1"/>
  <c r="B290" i="1"/>
  <c r="I289" i="1"/>
  <c r="E289" i="1"/>
  <c r="B289" i="1"/>
  <c r="I288" i="1"/>
  <c r="E288" i="1"/>
  <c r="B288" i="1"/>
  <c r="I287" i="1"/>
  <c r="E287" i="1"/>
  <c r="B287" i="1"/>
  <c r="I286" i="1"/>
  <c r="E286" i="1"/>
  <c r="B286" i="1"/>
  <c r="I285" i="1"/>
  <c r="E285" i="1"/>
  <c r="B285" i="1"/>
  <c r="I284" i="1"/>
  <c r="E284" i="1"/>
  <c r="B284" i="1"/>
  <c r="I283" i="1"/>
  <c r="E283" i="1"/>
  <c r="B283" i="1"/>
  <c r="I282" i="1"/>
  <c r="E282" i="1"/>
  <c r="B282" i="1"/>
  <c r="I281" i="1"/>
  <c r="E281" i="1"/>
  <c r="B281" i="1"/>
  <c r="I280" i="1"/>
  <c r="E280" i="1"/>
  <c r="B280" i="1"/>
  <c r="I279" i="1"/>
  <c r="E279" i="1"/>
  <c r="B279" i="1"/>
  <c r="I278" i="1"/>
  <c r="E278" i="1"/>
  <c r="B278" i="1"/>
  <c r="I277" i="1"/>
  <c r="E277" i="1"/>
  <c r="B277" i="1"/>
  <c r="I276" i="1"/>
  <c r="E276" i="1"/>
  <c r="B276" i="1"/>
  <c r="I275" i="1"/>
  <c r="E275" i="1"/>
  <c r="B275" i="1"/>
  <c r="I274" i="1"/>
  <c r="E274" i="1"/>
  <c r="B274" i="1"/>
  <c r="I273" i="1"/>
  <c r="E273" i="1"/>
  <c r="B273" i="1"/>
  <c r="I272" i="1"/>
  <c r="E272" i="1"/>
  <c r="B272" i="1"/>
  <c r="I271" i="1"/>
  <c r="E271" i="1"/>
  <c r="B271" i="1"/>
  <c r="I270" i="1"/>
  <c r="E270" i="1"/>
  <c r="B270" i="1"/>
  <c r="I269" i="1"/>
  <c r="E269" i="1"/>
  <c r="B269" i="1"/>
  <c r="I268" i="1"/>
  <c r="E268" i="1"/>
  <c r="B268" i="1"/>
  <c r="I267" i="1"/>
  <c r="E267" i="1"/>
  <c r="B267" i="1"/>
  <c r="I266" i="1"/>
  <c r="E266" i="1"/>
  <c r="B266" i="1"/>
  <c r="I265" i="1"/>
  <c r="E265" i="1"/>
  <c r="B265" i="1"/>
  <c r="I264" i="1"/>
  <c r="E264" i="1"/>
  <c r="B264" i="1"/>
  <c r="I263" i="1"/>
  <c r="E263" i="1"/>
  <c r="B263" i="1"/>
  <c r="I262" i="1"/>
  <c r="E262" i="1"/>
  <c r="B262" i="1"/>
  <c r="I261" i="1"/>
  <c r="E261" i="1"/>
  <c r="B261" i="1"/>
  <c r="I260" i="1"/>
  <c r="E260" i="1"/>
  <c r="B260" i="1"/>
  <c r="I259" i="1"/>
  <c r="E259" i="1"/>
  <c r="B259" i="1"/>
  <c r="I258" i="1"/>
  <c r="E258" i="1"/>
  <c r="B258" i="1"/>
  <c r="I257" i="1"/>
  <c r="E257" i="1"/>
  <c r="B257" i="1"/>
  <c r="I256" i="1"/>
  <c r="E256" i="1"/>
  <c r="B256" i="1"/>
  <c r="I255" i="1"/>
  <c r="E255" i="1"/>
  <c r="B255" i="1"/>
  <c r="I254" i="1"/>
  <c r="E254" i="1"/>
  <c r="B254" i="1"/>
  <c r="I253" i="1"/>
  <c r="E253" i="1"/>
  <c r="B253" i="1"/>
  <c r="I252" i="1"/>
  <c r="E252" i="1"/>
  <c r="B252" i="1"/>
  <c r="I251" i="1"/>
  <c r="E251" i="1"/>
  <c r="B251" i="1"/>
  <c r="I250" i="1"/>
  <c r="E250" i="1"/>
  <c r="B250" i="1"/>
  <c r="I249" i="1"/>
  <c r="E249" i="1"/>
  <c r="B249" i="1"/>
  <c r="I248" i="1"/>
  <c r="E248" i="1"/>
  <c r="B248" i="1"/>
  <c r="I247" i="1"/>
  <c r="E247" i="1"/>
  <c r="B247" i="1"/>
  <c r="I246" i="1"/>
  <c r="E246" i="1"/>
  <c r="B246" i="1"/>
  <c r="I245" i="1"/>
  <c r="E245" i="1"/>
  <c r="B245" i="1"/>
  <c r="I244" i="1"/>
  <c r="E244" i="1"/>
  <c r="B244" i="1"/>
  <c r="I243" i="1"/>
  <c r="E243" i="1"/>
  <c r="B243" i="1"/>
  <c r="I242" i="1"/>
  <c r="E242" i="1"/>
  <c r="B242" i="1"/>
  <c r="I241" i="1"/>
  <c r="E241" i="1"/>
  <c r="B241" i="1"/>
  <c r="I240" i="1"/>
  <c r="E240" i="1"/>
  <c r="B240" i="1"/>
  <c r="I239" i="1"/>
  <c r="E239" i="1"/>
  <c r="B239" i="1"/>
  <c r="I238" i="1"/>
  <c r="E238" i="1"/>
  <c r="B238" i="1"/>
  <c r="I237" i="1"/>
  <c r="E237" i="1"/>
  <c r="B237" i="1"/>
  <c r="I236" i="1"/>
  <c r="E236" i="1"/>
  <c r="B236" i="1"/>
  <c r="I235" i="1"/>
  <c r="E235" i="1"/>
  <c r="B235" i="1"/>
  <c r="I234" i="1"/>
  <c r="E234" i="1"/>
  <c r="B234" i="1"/>
  <c r="I233" i="1"/>
  <c r="E233" i="1"/>
  <c r="B233" i="1"/>
  <c r="I232" i="1"/>
  <c r="E232" i="1"/>
  <c r="B232" i="1"/>
  <c r="I231" i="1"/>
  <c r="E231" i="1"/>
  <c r="B231" i="1"/>
  <c r="I230" i="1"/>
  <c r="E230" i="1"/>
  <c r="B230" i="1"/>
  <c r="I229" i="1"/>
  <c r="E229" i="1"/>
  <c r="B229" i="1"/>
  <c r="I228" i="1"/>
  <c r="E228" i="1"/>
  <c r="B228" i="1"/>
  <c r="I227" i="1"/>
  <c r="E227" i="1"/>
  <c r="B227" i="1"/>
  <c r="I226" i="1"/>
  <c r="E226" i="1"/>
  <c r="B226" i="1"/>
  <c r="I225" i="1"/>
  <c r="E225" i="1"/>
  <c r="B225" i="1"/>
  <c r="I224" i="1"/>
  <c r="E224" i="1"/>
  <c r="B224" i="1"/>
  <c r="I223" i="1"/>
  <c r="E223" i="1"/>
  <c r="B223" i="1"/>
  <c r="I222" i="1"/>
  <c r="E222" i="1"/>
  <c r="B222" i="1"/>
  <c r="I221" i="1"/>
  <c r="E221" i="1"/>
  <c r="B221" i="1"/>
  <c r="I220" i="1"/>
  <c r="E220" i="1"/>
  <c r="B220" i="1"/>
  <c r="I219" i="1"/>
  <c r="E219" i="1"/>
  <c r="B219" i="1"/>
  <c r="I218" i="1"/>
  <c r="E218" i="1"/>
  <c r="B218" i="1"/>
  <c r="I217" i="1"/>
  <c r="E217" i="1"/>
  <c r="B217" i="1"/>
  <c r="I216" i="1"/>
  <c r="E216" i="1"/>
  <c r="B216" i="1"/>
  <c r="I215" i="1"/>
  <c r="E215" i="1"/>
  <c r="B215" i="1"/>
  <c r="I214" i="1"/>
  <c r="E214" i="1"/>
  <c r="B214" i="1"/>
  <c r="I213" i="1"/>
  <c r="E213" i="1"/>
  <c r="B213" i="1"/>
  <c r="I212" i="1"/>
  <c r="E212" i="1"/>
  <c r="B212" i="1"/>
  <c r="I211" i="1"/>
  <c r="E211" i="1"/>
  <c r="B211" i="1"/>
  <c r="I210" i="1"/>
  <c r="E210" i="1"/>
  <c r="B210" i="1"/>
  <c r="I209" i="1"/>
  <c r="E209" i="1"/>
  <c r="B209" i="1"/>
  <c r="I208" i="1"/>
  <c r="E208" i="1"/>
  <c r="B208" i="1"/>
  <c r="I207" i="1"/>
  <c r="E207" i="1"/>
  <c r="B207" i="1"/>
  <c r="I206" i="1"/>
  <c r="E206" i="1"/>
  <c r="B206" i="1"/>
  <c r="I205" i="1"/>
  <c r="E205" i="1"/>
  <c r="B205" i="1"/>
  <c r="I204" i="1"/>
  <c r="E204" i="1"/>
  <c r="B204" i="1"/>
  <c r="I203" i="1"/>
  <c r="E203" i="1"/>
  <c r="B203" i="1"/>
  <c r="I202" i="1"/>
  <c r="E202" i="1"/>
  <c r="B202" i="1"/>
  <c r="I201" i="1"/>
  <c r="E201" i="1"/>
  <c r="B201" i="1"/>
  <c r="I200" i="1"/>
  <c r="E200" i="1"/>
  <c r="B200" i="1"/>
  <c r="I199" i="1"/>
  <c r="E199" i="1"/>
  <c r="B199" i="1"/>
  <c r="I198" i="1"/>
  <c r="E198" i="1"/>
  <c r="B198" i="1"/>
  <c r="I197" i="1"/>
  <c r="E197" i="1"/>
  <c r="B197" i="1"/>
  <c r="I196" i="1"/>
  <c r="E196" i="1"/>
  <c r="B196" i="1"/>
  <c r="I195" i="1"/>
  <c r="E195" i="1"/>
  <c r="B195" i="1"/>
  <c r="I194" i="1"/>
  <c r="E194" i="1"/>
  <c r="B194" i="1"/>
  <c r="I193" i="1"/>
  <c r="E193" i="1"/>
  <c r="B193" i="1"/>
  <c r="I192" i="1"/>
  <c r="E192" i="1"/>
  <c r="B192" i="1"/>
  <c r="I191" i="1"/>
  <c r="E191" i="1"/>
  <c r="B191" i="1"/>
  <c r="I190" i="1"/>
  <c r="E190" i="1"/>
  <c r="B190" i="1"/>
  <c r="I189" i="1"/>
  <c r="E189" i="1"/>
  <c r="B189" i="1"/>
  <c r="I188" i="1"/>
  <c r="E188" i="1"/>
  <c r="B188" i="1"/>
  <c r="I187" i="1"/>
  <c r="E187" i="1"/>
  <c r="B187" i="1"/>
  <c r="I186" i="1"/>
  <c r="E186" i="1"/>
  <c r="B186" i="1"/>
  <c r="I185" i="1"/>
  <c r="E185" i="1"/>
  <c r="B185" i="1"/>
  <c r="I184" i="1"/>
  <c r="E184" i="1"/>
  <c r="B184" i="1"/>
  <c r="I183" i="1"/>
  <c r="E183" i="1"/>
  <c r="B183" i="1"/>
  <c r="I182" i="1"/>
  <c r="E182" i="1"/>
  <c r="B182" i="1"/>
  <c r="I181" i="1"/>
  <c r="E181" i="1"/>
  <c r="B181" i="1"/>
  <c r="I180" i="1"/>
  <c r="E180" i="1"/>
  <c r="B180" i="1"/>
  <c r="I179" i="1"/>
  <c r="E179" i="1"/>
  <c r="B179" i="1"/>
  <c r="I178" i="1"/>
  <c r="E178" i="1"/>
  <c r="B178" i="1"/>
  <c r="I177" i="1"/>
  <c r="E177" i="1"/>
  <c r="B177" i="1"/>
  <c r="I176" i="1"/>
  <c r="E176" i="1"/>
  <c r="B176" i="1"/>
  <c r="I175" i="1"/>
  <c r="E175" i="1"/>
  <c r="B175" i="1"/>
  <c r="I174" i="1"/>
  <c r="E174" i="1"/>
  <c r="B174" i="1"/>
  <c r="I173" i="1"/>
  <c r="E173" i="1"/>
  <c r="B173" i="1"/>
  <c r="I172" i="1"/>
  <c r="E172" i="1"/>
  <c r="B172" i="1"/>
  <c r="I171" i="1"/>
  <c r="E171" i="1"/>
  <c r="B171" i="1"/>
  <c r="I170" i="1"/>
  <c r="E170" i="1"/>
  <c r="B170" i="1"/>
  <c r="I169" i="1"/>
  <c r="E169" i="1"/>
  <c r="B169" i="1"/>
  <c r="I168" i="1"/>
  <c r="E168" i="1"/>
  <c r="B168" i="1"/>
  <c r="I167" i="1"/>
  <c r="E167" i="1"/>
  <c r="B167" i="1"/>
  <c r="I166" i="1"/>
  <c r="E166" i="1"/>
  <c r="B166" i="1"/>
  <c r="I165" i="1"/>
  <c r="E165" i="1"/>
  <c r="B165" i="1"/>
  <c r="I164" i="1"/>
  <c r="E164" i="1"/>
  <c r="B164" i="1"/>
  <c r="I163" i="1"/>
  <c r="E163" i="1"/>
  <c r="B163" i="1"/>
  <c r="I162" i="1"/>
  <c r="E162" i="1"/>
  <c r="B162" i="1"/>
  <c r="I161" i="1"/>
  <c r="E161" i="1"/>
  <c r="B161" i="1"/>
  <c r="I160" i="1"/>
  <c r="E160" i="1"/>
  <c r="B160" i="1"/>
  <c r="I159" i="1"/>
  <c r="E159" i="1"/>
  <c r="B159" i="1"/>
  <c r="I158" i="1"/>
  <c r="E158" i="1"/>
  <c r="B158" i="1"/>
  <c r="I157" i="1"/>
  <c r="E157" i="1"/>
  <c r="B157" i="1"/>
  <c r="I156" i="1"/>
  <c r="E156" i="1"/>
  <c r="B156" i="1"/>
  <c r="I155" i="1"/>
  <c r="E155" i="1"/>
  <c r="B155" i="1"/>
  <c r="I154" i="1"/>
  <c r="E154" i="1"/>
  <c r="B154" i="1"/>
  <c r="I153" i="1"/>
  <c r="E153" i="1"/>
  <c r="B153" i="1"/>
  <c r="I152" i="1"/>
  <c r="E152" i="1"/>
  <c r="B152" i="1"/>
  <c r="I151" i="1"/>
  <c r="E151" i="1"/>
  <c r="B151" i="1"/>
  <c r="I150" i="1"/>
  <c r="E150" i="1"/>
  <c r="B150" i="1"/>
  <c r="I149" i="1"/>
  <c r="E149" i="1"/>
  <c r="B149" i="1"/>
  <c r="I148" i="1"/>
  <c r="E148" i="1"/>
  <c r="B148" i="1"/>
  <c r="I147" i="1"/>
  <c r="E147" i="1"/>
  <c r="B147" i="1"/>
  <c r="I146" i="1"/>
  <c r="E146" i="1"/>
  <c r="B146" i="1"/>
  <c r="I145" i="1"/>
  <c r="E145" i="1"/>
  <c r="B145" i="1"/>
  <c r="I144" i="1"/>
  <c r="E144" i="1"/>
  <c r="B144" i="1"/>
  <c r="I143" i="1"/>
  <c r="E143" i="1"/>
  <c r="B143" i="1"/>
  <c r="I142" i="1"/>
  <c r="E142" i="1"/>
  <c r="B142" i="1"/>
  <c r="I141" i="1"/>
  <c r="E141" i="1"/>
  <c r="B141" i="1"/>
  <c r="I140" i="1"/>
  <c r="E140" i="1"/>
  <c r="B140" i="1"/>
  <c r="I139" i="1"/>
  <c r="E139" i="1"/>
  <c r="B139" i="1"/>
  <c r="I138" i="1"/>
  <c r="E138" i="1"/>
  <c r="B138" i="1"/>
  <c r="I137" i="1"/>
  <c r="E137" i="1"/>
  <c r="B137" i="1"/>
  <c r="I136" i="1"/>
  <c r="E136" i="1"/>
  <c r="B136" i="1"/>
  <c r="I135" i="1"/>
  <c r="E135" i="1"/>
  <c r="B135" i="1"/>
  <c r="I134" i="1"/>
  <c r="E134" i="1"/>
  <c r="B134" i="1"/>
  <c r="I133" i="1"/>
  <c r="E133" i="1"/>
  <c r="B133" i="1"/>
  <c r="I132" i="1"/>
  <c r="E132" i="1"/>
  <c r="B132" i="1"/>
  <c r="I131" i="1"/>
  <c r="E131" i="1"/>
  <c r="B131" i="1"/>
  <c r="I130" i="1"/>
  <c r="E130" i="1"/>
  <c r="B130" i="1"/>
  <c r="I129" i="1"/>
  <c r="E129" i="1"/>
  <c r="B129" i="1"/>
  <c r="I128" i="1"/>
  <c r="E128" i="1"/>
  <c r="B128" i="1"/>
  <c r="I127" i="1"/>
  <c r="E127" i="1"/>
  <c r="B127" i="1"/>
  <c r="I126" i="1"/>
  <c r="E126" i="1"/>
  <c r="B126" i="1"/>
  <c r="I125" i="1"/>
  <c r="E125" i="1"/>
  <c r="B125" i="1"/>
  <c r="I124" i="1"/>
  <c r="E124" i="1"/>
  <c r="B124" i="1"/>
  <c r="I123" i="1"/>
  <c r="E123" i="1"/>
  <c r="B123" i="1"/>
  <c r="I122" i="1"/>
  <c r="E122" i="1"/>
  <c r="B122" i="1"/>
  <c r="I121" i="1"/>
  <c r="E121" i="1"/>
  <c r="B121" i="1"/>
  <c r="I120" i="1"/>
  <c r="E120" i="1"/>
  <c r="B120" i="1"/>
  <c r="I119" i="1"/>
  <c r="E119" i="1"/>
  <c r="B119" i="1"/>
  <c r="I118" i="1"/>
  <c r="E118" i="1"/>
  <c r="B118" i="1"/>
  <c r="I117" i="1"/>
  <c r="E117" i="1"/>
  <c r="B117" i="1"/>
  <c r="I116" i="1"/>
  <c r="E116" i="1"/>
  <c r="B116" i="1"/>
  <c r="I115" i="1"/>
  <c r="E115" i="1"/>
  <c r="B115" i="1"/>
  <c r="I114" i="1"/>
  <c r="E114" i="1"/>
  <c r="B114" i="1"/>
  <c r="I113" i="1"/>
  <c r="E113" i="1"/>
  <c r="B113" i="1"/>
  <c r="I112" i="1"/>
  <c r="E112" i="1"/>
  <c r="B112" i="1"/>
  <c r="I111" i="1"/>
  <c r="E111" i="1"/>
  <c r="B111" i="1"/>
  <c r="I110" i="1"/>
  <c r="E110" i="1"/>
  <c r="B110" i="1"/>
  <c r="I109" i="1"/>
  <c r="E109" i="1"/>
  <c r="B109" i="1"/>
  <c r="I108" i="1"/>
  <c r="E108" i="1"/>
  <c r="B108" i="1"/>
  <c r="I107" i="1"/>
  <c r="E107" i="1"/>
  <c r="B107" i="1"/>
  <c r="I106" i="1"/>
  <c r="E106" i="1"/>
  <c r="B106" i="1"/>
  <c r="I105" i="1"/>
  <c r="E105" i="1"/>
  <c r="B105" i="1"/>
  <c r="I104" i="1"/>
  <c r="E104" i="1"/>
  <c r="B104" i="1"/>
  <c r="I103" i="1"/>
  <c r="E103" i="1"/>
  <c r="B103" i="1"/>
  <c r="I102" i="1"/>
  <c r="E102" i="1"/>
  <c r="B102" i="1"/>
  <c r="I101" i="1"/>
  <c r="E101" i="1"/>
  <c r="B101" i="1"/>
  <c r="I100" i="1"/>
  <c r="E100" i="1"/>
  <c r="B100" i="1"/>
  <c r="I99" i="1"/>
  <c r="E99" i="1"/>
  <c r="B99" i="1"/>
  <c r="I98" i="1"/>
  <c r="E98" i="1"/>
  <c r="B98" i="1"/>
  <c r="I97" i="1"/>
  <c r="E97" i="1"/>
  <c r="B97" i="1"/>
  <c r="I96" i="1"/>
  <c r="E96" i="1"/>
  <c r="B96" i="1"/>
  <c r="I95" i="1"/>
  <c r="E95" i="1"/>
  <c r="B95" i="1"/>
  <c r="I94" i="1"/>
  <c r="E94" i="1"/>
  <c r="B94" i="1"/>
  <c r="I93" i="1"/>
  <c r="E93" i="1"/>
  <c r="B93" i="1"/>
  <c r="I92" i="1"/>
  <c r="E92" i="1"/>
  <c r="B92" i="1"/>
  <c r="I91" i="1"/>
  <c r="E91" i="1"/>
  <c r="B91" i="1"/>
  <c r="I90" i="1"/>
  <c r="E90" i="1"/>
  <c r="B90" i="1"/>
  <c r="I89" i="1"/>
  <c r="E89" i="1"/>
  <c r="B89" i="1"/>
  <c r="I88" i="1"/>
  <c r="E88" i="1"/>
  <c r="B88" i="1"/>
  <c r="I87" i="1"/>
  <c r="E87" i="1"/>
  <c r="B87" i="1"/>
  <c r="I86" i="1"/>
  <c r="E86" i="1"/>
  <c r="B86" i="1"/>
  <c r="I85" i="1"/>
  <c r="E85" i="1"/>
  <c r="B85" i="1"/>
  <c r="I84" i="1"/>
  <c r="E84" i="1"/>
  <c r="B84" i="1"/>
  <c r="I83" i="1"/>
  <c r="E83" i="1"/>
  <c r="B83" i="1"/>
  <c r="I82" i="1"/>
  <c r="E82" i="1"/>
  <c r="B82" i="1"/>
  <c r="I81" i="1"/>
  <c r="E81" i="1"/>
  <c r="B81" i="1"/>
  <c r="I80" i="1"/>
  <c r="E80" i="1"/>
  <c r="B80" i="1"/>
  <c r="I79" i="1"/>
  <c r="E79" i="1"/>
  <c r="B79" i="1"/>
  <c r="I78" i="1"/>
  <c r="E78" i="1"/>
  <c r="B78" i="1"/>
  <c r="I77" i="1"/>
  <c r="E77" i="1"/>
  <c r="B77" i="1"/>
  <c r="I76" i="1"/>
  <c r="E76" i="1"/>
  <c r="B76" i="1"/>
  <c r="I75" i="1"/>
  <c r="E75" i="1"/>
  <c r="B75" i="1"/>
  <c r="I74" i="1"/>
  <c r="E74" i="1"/>
  <c r="B74" i="1"/>
  <c r="I73" i="1"/>
  <c r="E73" i="1"/>
  <c r="B73" i="1"/>
  <c r="I72" i="1"/>
  <c r="E72" i="1"/>
  <c r="B72" i="1"/>
  <c r="I71" i="1"/>
  <c r="E71" i="1"/>
  <c r="B71" i="1"/>
  <c r="I70" i="1"/>
  <c r="E70" i="1"/>
  <c r="B70" i="1"/>
  <c r="I69" i="1"/>
  <c r="E69" i="1"/>
  <c r="B69" i="1"/>
  <c r="I68" i="1"/>
  <c r="E68" i="1"/>
  <c r="B68" i="1"/>
  <c r="I67" i="1"/>
  <c r="E67" i="1"/>
  <c r="B67" i="1"/>
  <c r="I66" i="1"/>
  <c r="E66" i="1"/>
  <c r="B66" i="1"/>
  <c r="I65" i="1"/>
  <c r="E65" i="1"/>
  <c r="B65" i="1"/>
  <c r="I64" i="1"/>
  <c r="E64" i="1"/>
  <c r="B64" i="1"/>
  <c r="I63" i="1"/>
  <c r="E63" i="1"/>
  <c r="B63" i="1"/>
  <c r="I62" i="1"/>
  <c r="E62" i="1"/>
  <c r="B62" i="1"/>
  <c r="I61" i="1"/>
  <c r="E61" i="1"/>
  <c r="B61" i="1"/>
  <c r="I60" i="1"/>
  <c r="E60" i="1"/>
  <c r="B60" i="1"/>
  <c r="I59" i="1"/>
  <c r="E59" i="1"/>
  <c r="B59" i="1"/>
  <c r="I58" i="1"/>
  <c r="E58" i="1"/>
  <c r="B58" i="1"/>
  <c r="I57" i="1"/>
  <c r="E57" i="1"/>
  <c r="B57" i="1"/>
  <c r="I56" i="1"/>
  <c r="E56" i="1"/>
  <c r="B56" i="1"/>
  <c r="I55" i="1"/>
  <c r="E55" i="1"/>
  <c r="B55" i="1"/>
  <c r="I54" i="1"/>
  <c r="E54" i="1"/>
  <c r="B54" i="1"/>
  <c r="I53" i="1"/>
  <c r="E53" i="1"/>
  <c r="B53" i="1"/>
  <c r="I52" i="1"/>
  <c r="E52" i="1"/>
  <c r="B52" i="1"/>
  <c r="I51" i="1"/>
  <c r="E51" i="1"/>
  <c r="B51" i="1"/>
  <c r="I50" i="1"/>
  <c r="E50" i="1"/>
  <c r="B50" i="1"/>
  <c r="I49" i="1"/>
  <c r="E49" i="1"/>
  <c r="B49" i="1"/>
  <c r="I48" i="1"/>
  <c r="E48" i="1"/>
  <c r="B48" i="1"/>
  <c r="I47" i="1"/>
  <c r="E47" i="1"/>
  <c r="B47" i="1"/>
  <c r="I46" i="1"/>
  <c r="E46" i="1"/>
  <c r="B46" i="1"/>
  <c r="I45" i="1"/>
  <c r="E45" i="1"/>
  <c r="B45" i="1"/>
  <c r="I44" i="1"/>
  <c r="E44" i="1"/>
  <c r="B44" i="1"/>
  <c r="I43" i="1"/>
  <c r="E43" i="1"/>
  <c r="B43" i="1"/>
  <c r="I42" i="1"/>
  <c r="E42" i="1"/>
  <c r="B42" i="1"/>
  <c r="I41" i="1"/>
  <c r="E41" i="1"/>
  <c r="B41" i="1"/>
  <c r="I40" i="1"/>
  <c r="E40" i="1"/>
  <c r="B40" i="1"/>
  <c r="I39" i="1"/>
  <c r="E39" i="1"/>
  <c r="B39" i="1"/>
  <c r="I38" i="1"/>
  <c r="E38" i="1"/>
  <c r="B38" i="1"/>
  <c r="I37" i="1"/>
  <c r="E37" i="1"/>
  <c r="B37" i="1"/>
  <c r="I36" i="1"/>
  <c r="E36" i="1"/>
  <c r="B36" i="1"/>
  <c r="I35" i="1"/>
  <c r="E35" i="1"/>
  <c r="B35" i="1"/>
  <c r="I34" i="1"/>
  <c r="E34" i="1"/>
  <c r="B34" i="1"/>
  <c r="I33" i="1"/>
  <c r="E33" i="1"/>
  <c r="B33" i="1"/>
  <c r="I32" i="1"/>
  <c r="E32" i="1"/>
  <c r="B32" i="1"/>
  <c r="I31" i="1"/>
  <c r="E31" i="1"/>
  <c r="B31" i="1"/>
  <c r="I30" i="1"/>
  <c r="E30" i="1"/>
  <c r="B30" i="1"/>
  <c r="I29" i="1"/>
  <c r="E29" i="1"/>
  <c r="B29" i="1"/>
  <c r="I28" i="1"/>
  <c r="E28" i="1"/>
  <c r="B28" i="1"/>
  <c r="I27" i="1"/>
  <c r="E27" i="1"/>
  <c r="B27" i="1"/>
  <c r="I26" i="1"/>
  <c r="E26" i="1"/>
  <c r="B26" i="1"/>
  <c r="I25" i="1"/>
  <c r="E25" i="1"/>
  <c r="B25" i="1"/>
  <c r="I24" i="1"/>
  <c r="E24" i="1"/>
  <c r="B24" i="1"/>
  <c r="I23" i="1"/>
  <c r="E23" i="1"/>
  <c r="B23" i="1"/>
  <c r="I22" i="1"/>
  <c r="E22" i="1"/>
  <c r="B22" i="1"/>
  <c r="I21" i="1"/>
  <c r="E21" i="1"/>
  <c r="B21" i="1"/>
  <c r="I20" i="1"/>
  <c r="E20" i="1"/>
  <c r="B20" i="1"/>
  <c r="I19" i="1"/>
  <c r="E19" i="1"/>
  <c r="B19" i="1"/>
  <c r="I18" i="1"/>
  <c r="E18" i="1"/>
  <c r="B18" i="1"/>
  <c r="I17" i="1"/>
  <c r="E17" i="1"/>
  <c r="B17" i="1"/>
  <c r="I16" i="1"/>
  <c r="E16" i="1"/>
  <c r="B16" i="1"/>
  <c r="I15" i="1"/>
  <c r="E15" i="1"/>
  <c r="B15" i="1"/>
  <c r="I14" i="1"/>
  <c r="E14" i="1"/>
  <c r="B14" i="1"/>
  <c r="I13" i="1"/>
  <c r="E13" i="1"/>
  <c r="B13" i="1"/>
  <c r="I12" i="1"/>
  <c r="E12" i="1"/>
  <c r="B12" i="1"/>
  <c r="I11" i="1"/>
  <c r="E11" i="1"/>
  <c r="B11" i="1"/>
  <c r="I10" i="1"/>
  <c r="E10" i="1"/>
  <c r="B10" i="1"/>
  <c r="I9" i="1"/>
  <c r="E9" i="1"/>
  <c r="B9" i="1"/>
  <c r="I8" i="1"/>
  <c r="E8" i="1"/>
  <c r="B8" i="1"/>
  <c r="I7" i="1"/>
  <c r="E7" i="1"/>
  <c r="B7" i="1"/>
  <c r="I6" i="1"/>
  <c r="E6" i="1"/>
  <c r="B6" i="1"/>
  <c r="I5" i="1"/>
  <c r="E5" i="1"/>
  <c r="B5" i="1"/>
  <c r="I4" i="1"/>
  <c r="E4" i="1"/>
  <c r="B4" i="1"/>
  <c r="I3" i="1"/>
  <c r="E3" i="1"/>
  <c r="B3" i="1"/>
  <c r="I2" i="1"/>
  <c r="E2" i="1"/>
  <c r="B2" i="1"/>
</calcChain>
</file>

<file path=xl/sharedStrings.xml><?xml version="1.0" encoding="utf-8"?>
<sst xmlns="http://schemas.openxmlformats.org/spreadsheetml/2006/main" count="7720" uniqueCount="318">
  <si>
    <t>S.L.</t>
  </si>
  <si>
    <t>imaplink</t>
  </si>
  <si>
    <t>presenceId</t>
  </si>
  <si>
    <t>presentSpeciesId</t>
  </si>
  <si>
    <t>iMapPhoto</t>
  </si>
  <si>
    <t>imap_sci</t>
  </si>
  <si>
    <t>imap_com</t>
  </si>
  <si>
    <t>imap_record_taxon</t>
  </si>
  <si>
    <t>inatlink</t>
  </si>
  <si>
    <t>inat_sci</t>
  </si>
  <si>
    <t>inat_com</t>
  </si>
  <si>
    <t>inat_taxon</t>
  </si>
  <si>
    <t>geo_score</t>
  </si>
  <si>
    <t>com_score</t>
  </si>
  <si>
    <t>visual_model</t>
  </si>
  <si>
    <t>species_label</t>
  </si>
  <si>
    <t>com_status</t>
  </si>
  <si>
    <t>Verification</t>
  </si>
  <si>
    <t>Photo_quality</t>
  </si>
  <si>
    <t>Litylenchus crenatae mccannii</t>
  </si>
  <si>
    <t>Beech leaf disease nematode</t>
  </si>
  <si>
    <t>Litylenchus crenatae</t>
  </si>
  <si>
    <t>Beech leaf disease</t>
  </si>
  <si>
    <t>Both iMap and iNat correct</t>
  </si>
  <si>
    <t>Good photo</t>
  </si>
  <si>
    <t>Fagus grandifolia</t>
  </si>
  <si>
    <t>American beech</t>
  </si>
  <si>
    <t>iNat is only correct</t>
  </si>
  <si>
    <t>Bad-Focused Different Species</t>
  </si>
  <si>
    <t>iMap is only correct</t>
  </si>
  <si>
    <t>Acalitus ferrugineum</t>
  </si>
  <si>
    <t>Beech erineum mite</t>
  </si>
  <si>
    <t>Both iMap and iNat incorrect</t>
  </si>
  <si>
    <t>Bad-Photo taken from long distance</t>
  </si>
  <si>
    <t>Bad-Blur Photo</t>
  </si>
  <si>
    <t>Magnolia acuminata</t>
  </si>
  <si>
    <t>Cucumber-tree</t>
  </si>
  <si>
    <t>Nyssa sylvatica</t>
  </si>
  <si>
    <t>Black tupelo</t>
  </si>
  <si>
    <t>Bad-limited contrast</t>
  </si>
  <si>
    <t xml:space="preserve">Undeterminable </t>
  </si>
  <si>
    <t>Carpinus caroliniana</t>
  </si>
  <si>
    <t>American hornbeam</t>
  </si>
  <si>
    <t>Odocoileus virginianus</t>
  </si>
  <si>
    <t>White-tailed deer</t>
  </si>
  <si>
    <t>Smilax rotundifolia</t>
  </si>
  <si>
    <t>Roundleaf greenbrier</t>
  </si>
  <si>
    <t>Rhamnus cathartica</t>
  </si>
  <si>
    <t>Buckthorn</t>
  </si>
  <si>
    <t>Common buckthorn</t>
  </si>
  <si>
    <t>Cephalanthus occidentalis</t>
  </si>
  <si>
    <t>Buttonbush</t>
  </si>
  <si>
    <t>Onoclea sensibilis</t>
  </si>
  <si>
    <t>Sensitive fern</t>
  </si>
  <si>
    <t>Prunus virginiana</t>
  </si>
  <si>
    <t>Chokecherry</t>
  </si>
  <si>
    <t>Celastrus orbiculatus</t>
  </si>
  <si>
    <t>Oriental bittersweet</t>
  </si>
  <si>
    <t>Ilex mucronata</t>
  </si>
  <si>
    <t>Mountain holly</t>
  </si>
  <si>
    <t>Betula populifolia</t>
  </si>
  <si>
    <t>Gray birch</t>
  </si>
  <si>
    <t>Larix laricina</t>
  </si>
  <si>
    <t>Tamarack</t>
  </si>
  <si>
    <t>Bad-Dried Stems</t>
  </si>
  <si>
    <t>Alnus incana</t>
  </si>
  <si>
    <t>Grey alder</t>
  </si>
  <si>
    <t>Symphoricarpos albus</t>
  </si>
  <si>
    <t>Common snowberry</t>
  </si>
  <si>
    <t>Prunus serotina</t>
  </si>
  <si>
    <t>Black cherry</t>
  </si>
  <si>
    <t>Populus laurifolia</t>
  </si>
  <si>
    <t>Laurel-leaved poplar</t>
  </si>
  <si>
    <t>Malus domestica</t>
  </si>
  <si>
    <t>Apple</t>
  </si>
  <si>
    <t>Robinia pseudoacacia</t>
  </si>
  <si>
    <t>Black locust</t>
  </si>
  <si>
    <t>Frangula alnus</t>
  </si>
  <si>
    <t>Alder buckthorn</t>
  </si>
  <si>
    <t>Bad-Multiple focused species</t>
  </si>
  <si>
    <t>Sorbus sibirica</t>
  </si>
  <si>
    <t>Siberian mountain ash</t>
  </si>
  <si>
    <t>Alliaria petiolata</t>
  </si>
  <si>
    <t>Garlic Mustard</t>
  </si>
  <si>
    <t>Garlic mustard</t>
  </si>
  <si>
    <t>Alangium platanifolium</t>
  </si>
  <si>
    <t>Planeleaf alangium</t>
  </si>
  <si>
    <t>Salix babylonica</t>
  </si>
  <si>
    <t>Weeping willow</t>
  </si>
  <si>
    <t>Crepidiastrum denticulatum</t>
  </si>
  <si>
    <t>Teeth-margin crepidiastrum</t>
  </si>
  <si>
    <t>Canarina canariensis</t>
  </si>
  <si>
    <t>Canary bellflower</t>
  </si>
  <si>
    <t>Allium rosenorum</t>
  </si>
  <si>
    <t>Unknown</t>
  </si>
  <si>
    <t>Daphne mezereum</t>
  </si>
  <si>
    <t>Mezereon</t>
  </si>
  <si>
    <t>Mitchella repens</t>
  </si>
  <si>
    <t>Partridgeberry</t>
  </si>
  <si>
    <t>Tamias striatus</t>
  </si>
  <si>
    <t>Eastern chipmunk</t>
  </si>
  <si>
    <t>Bonasa umbellus</t>
  </si>
  <si>
    <t>Ruffed grouse</t>
  </si>
  <si>
    <t>Glechoma hederacea</t>
  </si>
  <si>
    <t>Ground-ivy</t>
  </si>
  <si>
    <t>Echinocystis lobata</t>
  </si>
  <si>
    <t>Wild cucumber</t>
  </si>
  <si>
    <t>Persicaria perfoliata</t>
  </si>
  <si>
    <t>Mile-a-minute weed</t>
  </si>
  <si>
    <t>Elymus hystrix</t>
  </si>
  <si>
    <t>Bottlebrush grass</t>
  </si>
  <si>
    <t>Lapsana communis</t>
  </si>
  <si>
    <t>Nipplewort</t>
  </si>
  <si>
    <t>Berberis thunbergii</t>
  </si>
  <si>
    <t>Japanese barberry</t>
  </si>
  <si>
    <t>Solidago gigantea</t>
  </si>
  <si>
    <t>Giant goldenrod</t>
  </si>
  <si>
    <t>Erigeron strigosus</t>
  </si>
  <si>
    <t>Daisy fleabane</t>
  </si>
  <si>
    <t>Valeriana occidentalis</t>
  </si>
  <si>
    <t>Western valerian</t>
  </si>
  <si>
    <t>Toxicodendron radicans</t>
  </si>
  <si>
    <t>Eastern poison ivy</t>
  </si>
  <si>
    <t>Viola sororia</t>
  </si>
  <si>
    <t>Common blue violet</t>
  </si>
  <si>
    <t>Arnoglossum atriplicifolium</t>
  </si>
  <si>
    <t>Pale indian plantain</t>
  </si>
  <si>
    <t>Adelges tsugae</t>
  </si>
  <si>
    <t>Hemlock Woolly Adelgid</t>
  </si>
  <si>
    <t>Hemlock woolly adelgid</t>
  </si>
  <si>
    <t>Tsuga canadensis</t>
  </si>
  <si>
    <t>Eastern hemlock</t>
  </si>
  <si>
    <t>Fiorinia externa</t>
  </si>
  <si>
    <t>Elongate hemlock scale</t>
  </si>
  <si>
    <t>Taxus baccata</t>
  </si>
  <si>
    <t>Common yew</t>
  </si>
  <si>
    <t>Platanus occidentalis</t>
  </si>
  <si>
    <t>American sycamore</t>
  </si>
  <si>
    <t>Calocedrus formosana</t>
  </si>
  <si>
    <t>Taiwanese incense-cedar</t>
  </si>
  <si>
    <t>Reynoutria japonica var. japonica</t>
  </si>
  <si>
    <t>Japanese Knotweed</t>
  </si>
  <si>
    <t>Reynoutria japonica</t>
  </si>
  <si>
    <t>Japanese knotweed</t>
  </si>
  <si>
    <t>Scolopax minor</t>
  </si>
  <si>
    <t>American woodcock</t>
  </si>
  <si>
    <t>Ursus americanus</t>
  </si>
  <si>
    <t>American black bear</t>
  </si>
  <si>
    <t>Asparagus verticillatus</t>
  </si>
  <si>
    <t>Vining asparagus</t>
  </si>
  <si>
    <t>Betula nigra</t>
  </si>
  <si>
    <t>River birch</t>
  </si>
  <si>
    <t>Acer rubrum</t>
  </si>
  <si>
    <t>Red maple</t>
  </si>
  <si>
    <t>Parthenocissus tricuspidata</t>
  </si>
  <si>
    <t>Japanese creeper</t>
  </si>
  <si>
    <t>Pteridium aquilinum</t>
  </si>
  <si>
    <t>Common bracken</t>
  </si>
  <si>
    <t>Castanea mollissima</t>
  </si>
  <si>
    <t>Chinese chestnut</t>
  </si>
  <si>
    <t>Cuscuta lupuliformis</t>
  </si>
  <si>
    <t>Syringa meyeri</t>
  </si>
  <si>
    <t>Korean lilac</t>
  </si>
  <si>
    <t>Impatiens pallida</t>
  </si>
  <si>
    <t>Pale jewelweed</t>
  </si>
  <si>
    <t>Tamiasciurus hudsonicus</t>
  </si>
  <si>
    <t>American red squirrel</t>
  </si>
  <si>
    <t>Japanese Barberry</t>
  </si>
  <si>
    <t>Berchemia lineata</t>
  </si>
  <si>
    <t>Lineate supplejack</t>
  </si>
  <si>
    <t>Olearia bullata</t>
  </si>
  <si>
    <t>Crataegus azarolus</t>
  </si>
  <si>
    <t>Azarole</t>
  </si>
  <si>
    <t>Ribes cynosbati</t>
  </si>
  <si>
    <t>Prickly gooseberry</t>
  </si>
  <si>
    <t>Ligustrum obtusifolium</t>
  </si>
  <si>
    <t>Border privet</t>
  </si>
  <si>
    <t>Rudbeckia laciniata</t>
  </si>
  <si>
    <t>Cutleaf coneflower</t>
  </si>
  <si>
    <t>Berberis vulgaris</t>
  </si>
  <si>
    <t>European barberry</t>
  </si>
  <si>
    <t>Taenidia integerrima</t>
  </si>
  <si>
    <t>Yellow pimpernel</t>
  </si>
  <si>
    <t>Vincetoxicum rossicum</t>
  </si>
  <si>
    <t>European swallow-wort</t>
  </si>
  <si>
    <t>Lonicera morrowii</t>
  </si>
  <si>
    <t>Morrow's honeysuckle</t>
  </si>
  <si>
    <t>Euonymus alatus</t>
  </si>
  <si>
    <t>Winged euonymus</t>
  </si>
  <si>
    <t>Polygaloides paucifolia</t>
  </si>
  <si>
    <t>Fringed polygala</t>
  </si>
  <si>
    <t>Rosa multiflora</t>
  </si>
  <si>
    <t>Multiflora Rose</t>
  </si>
  <si>
    <t>Multiflora rose</t>
  </si>
  <si>
    <t>Rubus fraxinifolius</t>
  </si>
  <si>
    <t>Rosa carolina</t>
  </si>
  <si>
    <t>Carolina rose</t>
  </si>
  <si>
    <t>Baptisia tinctoria</t>
  </si>
  <si>
    <t>Eastern wild indigo</t>
  </si>
  <si>
    <t>Styphnolobium japonicum</t>
  </si>
  <si>
    <t>Japanese pagoda tree</t>
  </si>
  <si>
    <t>Solidago rugosa</t>
  </si>
  <si>
    <t>Common wrinkle-leaved goldenrod</t>
  </si>
  <si>
    <t>Polemonium reptans</t>
  </si>
  <si>
    <t>Jacob's ladder</t>
  </si>
  <si>
    <t>Oriental Bittersweet</t>
  </si>
  <si>
    <t>Castanea dentata</t>
  </si>
  <si>
    <t>American chestnut</t>
  </si>
  <si>
    <t>Populus suaveolens</t>
  </si>
  <si>
    <t>Mongolian poplar</t>
  </si>
  <si>
    <t>Aristolochia macrophylla</t>
  </si>
  <si>
    <t>Pipevine</t>
  </si>
  <si>
    <t>Scrophularia scopolii</t>
  </si>
  <si>
    <t>Italian figwort</t>
  </si>
  <si>
    <t>Haematoxylum campechianum</t>
  </si>
  <si>
    <t>Bloodwood tree</t>
  </si>
  <si>
    <t>Picea abies</t>
  </si>
  <si>
    <t>Norway spruce</t>
  </si>
  <si>
    <t>Celastrus scandens</t>
  </si>
  <si>
    <t>American bittersweet</t>
  </si>
  <si>
    <t>Morus alba</t>
  </si>
  <si>
    <t>White mulberry</t>
  </si>
  <si>
    <t>Acanthocephala terminalis</t>
  </si>
  <si>
    <t>Searsia rehmanniana</t>
  </si>
  <si>
    <t>Bluntleaf currantrhus</t>
  </si>
  <si>
    <t>Schisandra chinensis</t>
  </si>
  <si>
    <t>Chinese magnolia-vine</t>
  </si>
  <si>
    <t>Apios americana</t>
  </si>
  <si>
    <t>American groundnut</t>
  </si>
  <si>
    <t>Muehlenbeckia adpressa</t>
  </si>
  <si>
    <t>Climbing lignum</t>
  </si>
  <si>
    <t>Parthenocissus inserta</t>
  </si>
  <si>
    <t>Thicket creeper</t>
  </si>
  <si>
    <t>Lythrum salicaria</t>
  </si>
  <si>
    <t>Purple Loosestrife</t>
  </si>
  <si>
    <t>Purple loosestrife</t>
  </si>
  <si>
    <t>Leucanthemum vulgare</t>
  </si>
  <si>
    <t>Oxeye daisy</t>
  </si>
  <si>
    <t>Chamaenerion angustifolium</t>
  </si>
  <si>
    <t>Fireweed</t>
  </si>
  <si>
    <t>Buddleja davidii</t>
  </si>
  <si>
    <t>Butterfly bush</t>
  </si>
  <si>
    <t>Euthamia graminifolia</t>
  </si>
  <si>
    <t>Flat-topped goldenrod</t>
  </si>
  <si>
    <t>Daucus carota</t>
  </si>
  <si>
    <t>Wild carrot</t>
  </si>
  <si>
    <t>Spiraea tomentosa</t>
  </si>
  <si>
    <t>Steeplebush</t>
  </si>
  <si>
    <t>Typha angustifolia</t>
  </si>
  <si>
    <t>Narrow-leaved cattail</t>
  </si>
  <si>
    <t>Lycium barbarum</t>
  </si>
  <si>
    <t>Matrimony vine</t>
  </si>
  <si>
    <t>Rhus typhina</t>
  </si>
  <si>
    <t>Staghorn sumac</t>
  </si>
  <si>
    <t>Heraclides cresphontes</t>
  </si>
  <si>
    <t>Eastern giant swallowtail</t>
  </si>
  <si>
    <t>Decodon verticillatus</t>
  </si>
  <si>
    <t>Swamp loosestrife</t>
  </si>
  <si>
    <t>Phragmites australis</t>
  </si>
  <si>
    <t>Common reed</t>
  </si>
  <si>
    <t>Artemisia vulgaris</t>
  </si>
  <si>
    <t>Common mugwort</t>
  </si>
  <si>
    <t>Carrichtera annua</t>
  </si>
  <si>
    <t>Ward's weed</t>
  </si>
  <si>
    <t>Asclepias incarnata</t>
  </si>
  <si>
    <t>Swamp milkweed</t>
  </si>
  <si>
    <t>Lycorma delicatula</t>
  </si>
  <si>
    <t>Spotted Lanternfly</t>
  </si>
  <si>
    <t>Spotted lanternfly</t>
  </si>
  <si>
    <t>Osmia bucephala</t>
  </si>
  <si>
    <t>Bufflehead mason bee</t>
  </si>
  <si>
    <t>Felis catus</t>
  </si>
  <si>
    <t>Domestic cat</t>
  </si>
  <si>
    <t>Camponotus pennsylvanicus</t>
  </si>
  <si>
    <t>Eastern black carpenter ant</t>
  </si>
  <si>
    <t>Lygaeus kalmii</t>
  </si>
  <si>
    <t>Small milkweed bug</t>
  </si>
  <si>
    <t>Diplocarpon rosae</t>
  </si>
  <si>
    <t>Rose black spot</t>
  </si>
  <si>
    <t>Ailanthus altissima</t>
  </si>
  <si>
    <t>Tree-of-heaven</t>
  </si>
  <si>
    <t>Acer platanoides</t>
  </si>
  <si>
    <t>Norway maple</t>
  </si>
  <si>
    <t>Tree-of-Heaven</t>
  </si>
  <si>
    <t>Juglans cinerea</t>
  </si>
  <si>
    <t>Butternut</t>
  </si>
  <si>
    <t>Sphyrapicus varius</t>
  </si>
  <si>
    <t>Yellow-bellied sapsucker</t>
  </si>
  <si>
    <t>Jacaratia mexicana</t>
  </si>
  <si>
    <t>Gymnocladus dioicus</t>
  </si>
  <si>
    <t>Kentucky coffeetree</t>
  </si>
  <si>
    <t>Juglans nigra</t>
  </si>
  <si>
    <t>Eastern black walnut</t>
  </si>
  <si>
    <t>Celtis tenuifolia</t>
  </si>
  <si>
    <t>Dwarf hackberry</t>
  </si>
  <si>
    <t>Carya cordiformis</t>
  </si>
  <si>
    <t>Bitternut hickory</t>
  </si>
  <si>
    <t>Gleditsia aquatica</t>
  </si>
  <si>
    <t>Water locust</t>
  </si>
  <si>
    <t>Weinmannia trichosperma</t>
  </si>
  <si>
    <t>Tineo</t>
  </si>
  <si>
    <t>Phellodendron amurense</t>
  </si>
  <si>
    <t>Amur corktree</t>
  </si>
  <si>
    <t>Liriodendron tulipifera</t>
  </si>
  <si>
    <t>Tulip tree</t>
  </si>
  <si>
    <t>Caryota mitis</t>
  </si>
  <si>
    <t>Burmese fishtail-palm</t>
  </si>
  <si>
    <t>Celtis occidentalis</t>
  </si>
  <si>
    <t>Common hackberry</t>
  </si>
  <si>
    <t>Microstegium vimineum</t>
  </si>
  <si>
    <t>Japanese stiltgrass</t>
  </si>
  <si>
    <t>Betula lenta</t>
  </si>
  <si>
    <t>Sweet birch</t>
  </si>
  <si>
    <t>Acer saccharum</t>
  </si>
  <si>
    <t>Sugar maple</t>
  </si>
  <si>
    <t>Photo_GB</t>
  </si>
  <si>
    <t>Good Photo</t>
  </si>
  <si>
    <t>Bad 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</si>
</sst>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1" applyFill="1"/>
    <xf numFmtId="0" fontId="1" fillId="0" borderId="3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CC9D-4A7E-4524-9016-8480ECF478CA}">
  <dimension ref="A1:T1101"/>
  <sheetViews>
    <sheetView tabSelected="1" workbookViewId="0">
      <pane ySplit="1" topLeftCell="A2" activePane="bottomLeft" state="frozen"/>
      <selection pane="bottomLeft" activeCell="N18" sqref="N18"/>
    </sheetView>
  </sheetViews>
  <sheetFormatPr defaultColWidth="8.85546875" defaultRowHeight="15" x14ac:dyDescent="0.25"/>
  <cols>
    <col min="1" max="1" width="8.5703125" bestFit="1" customWidth="1"/>
    <col min="2" max="2" width="13.28515625" bestFit="1" customWidth="1"/>
    <col min="3" max="3" width="15.42578125" bestFit="1" customWidth="1"/>
    <col min="4" max="4" width="21" bestFit="1" customWidth="1"/>
    <col min="5" max="5" width="15.42578125" bestFit="1" customWidth="1"/>
    <col min="6" max="6" width="31.42578125" bestFit="1" customWidth="1"/>
    <col min="7" max="7" width="27.140625" bestFit="1" customWidth="1"/>
    <col min="8" max="8" width="23" bestFit="1" customWidth="1"/>
    <col min="9" max="9" width="12.28515625" bestFit="1" customWidth="1"/>
    <col min="10" max="10" width="29" bestFit="1" customWidth="1"/>
    <col min="11" max="11" width="32.42578125" bestFit="1" customWidth="1"/>
    <col min="12" max="12" width="15" bestFit="1" customWidth="1"/>
    <col min="13" max="13" width="14.5703125" bestFit="1" customWidth="1"/>
    <col min="14" max="14" width="15" bestFit="1" customWidth="1"/>
    <col min="15" max="15" width="17.42578125" bestFit="1" customWidth="1"/>
    <col min="16" max="16" width="17.7109375" bestFit="1" customWidth="1"/>
    <col min="17" max="17" width="15.5703125" bestFit="1" customWidth="1"/>
    <col min="18" max="18" width="26.7109375" bestFit="1" customWidth="1"/>
    <col min="19" max="19" width="33.140625" bestFit="1" customWidth="1"/>
    <col min="20" max="20" width="14.425781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4" t="s">
        <v>315</v>
      </c>
    </row>
    <row r="2" spans="1:20" x14ac:dyDescent="0.25">
      <c r="A2">
        <v>1</v>
      </c>
      <c r="B2" t="str">
        <f>HYPERLINK("https://imapinvasives.natureserve.org/imap/services/page/Presence/1410322.html", "View")</f>
        <v>View</v>
      </c>
      <c r="C2">
        <v>1410322</v>
      </c>
      <c r="D2">
        <v>1422773</v>
      </c>
      <c r="E2" t="str">
        <f>HYPERLINK("http://imap3images.s3-website-us-east-1.amazonaws.com/1422773/p/imap_app_photo_1717528028859.jpg", "View")</f>
        <v>View</v>
      </c>
      <c r="F2" t="s">
        <v>19</v>
      </c>
      <c r="G2" t="s">
        <v>20</v>
      </c>
      <c r="H2">
        <v>1103716</v>
      </c>
      <c r="I2" t="str">
        <f>HYPERLINK("https://www.inaturalist.org/taxa/1103716-Litylenchus-crenatae", "View")</f>
        <v>View</v>
      </c>
      <c r="J2" t="s">
        <v>21</v>
      </c>
      <c r="K2" t="s">
        <v>22</v>
      </c>
      <c r="L2">
        <v>1103716</v>
      </c>
      <c r="M2">
        <v>9.33</v>
      </c>
      <c r="N2">
        <v>93.99</v>
      </c>
      <c r="P2">
        <v>1</v>
      </c>
      <c r="R2" t="s">
        <v>23</v>
      </c>
      <c r="S2" t="s">
        <v>24</v>
      </c>
      <c r="T2" t="s">
        <v>316</v>
      </c>
    </row>
    <row r="3" spans="1:20" x14ac:dyDescent="0.25">
      <c r="A3">
        <v>2</v>
      </c>
      <c r="B3" t="str">
        <f>HYPERLINK("https://imapinvasives.natureserve.org/imap/services/page/Presence/1409419.html", "View")</f>
        <v>View</v>
      </c>
      <c r="C3">
        <v>1409419</v>
      </c>
      <c r="D3">
        <v>1421839</v>
      </c>
      <c r="E3" t="str">
        <f>HYPERLINK("http://imap3images.s3-website-us-east-1.amazonaws.com/1421839/p/imap_app_photo_1717074362998.jpg", "View")</f>
        <v>View</v>
      </c>
      <c r="F3" t="s">
        <v>19</v>
      </c>
      <c r="G3" t="s">
        <v>20</v>
      </c>
      <c r="H3">
        <v>1103716</v>
      </c>
      <c r="I3" t="str">
        <f>HYPERLINK("https://www.inaturalist.org/taxa/1103716-Litylenchus-crenatae", "View")</f>
        <v>View</v>
      </c>
      <c r="J3" t="s">
        <v>21</v>
      </c>
      <c r="K3" t="s">
        <v>22</v>
      </c>
      <c r="L3">
        <v>1103716</v>
      </c>
      <c r="M3">
        <v>9.33</v>
      </c>
      <c r="N3">
        <v>94.06</v>
      </c>
      <c r="P3">
        <v>1</v>
      </c>
      <c r="R3" t="s">
        <v>23</v>
      </c>
      <c r="S3" t="s">
        <v>24</v>
      </c>
      <c r="T3" t="s">
        <v>316</v>
      </c>
    </row>
    <row r="4" spans="1:20" x14ac:dyDescent="0.25">
      <c r="A4">
        <v>3</v>
      </c>
      <c r="B4" t="str">
        <f>HYPERLINK("https://imapinvasives.natureserve.org/imap/services/page/Presence/1062878.html", "View")</f>
        <v>View</v>
      </c>
      <c r="C4">
        <v>1062878</v>
      </c>
      <c r="D4">
        <v>1067548</v>
      </c>
      <c r="E4" t="str">
        <f>HYPERLINK("http://imap3images.s3-website-us-east-1.amazonaws.com/1067548/p/IMG_7607.JPG", "View")</f>
        <v>View</v>
      </c>
      <c r="F4" t="s">
        <v>19</v>
      </c>
      <c r="G4" t="s">
        <v>20</v>
      </c>
      <c r="H4">
        <v>1103716</v>
      </c>
      <c r="I4" t="str">
        <f>HYPERLINK("https://www.inaturalist.org/taxa/1103716-Litylenchus-crenatae", "View")</f>
        <v>View</v>
      </c>
      <c r="J4" t="s">
        <v>21</v>
      </c>
      <c r="K4" t="s">
        <v>22</v>
      </c>
      <c r="L4">
        <v>1103716</v>
      </c>
      <c r="M4">
        <v>7.9</v>
      </c>
      <c r="N4">
        <v>74.069999999999993</v>
      </c>
      <c r="P4">
        <v>1</v>
      </c>
      <c r="R4" t="s">
        <v>23</v>
      </c>
      <c r="S4" t="s">
        <v>24</v>
      </c>
      <c r="T4" t="s">
        <v>316</v>
      </c>
    </row>
    <row r="5" spans="1:20" x14ac:dyDescent="0.25">
      <c r="A5">
        <v>4</v>
      </c>
      <c r="B5" t="str">
        <f>HYPERLINK("https://imapinvasives.natureserve.org/imap/services/page/Presence/1054189.html", "View")</f>
        <v>View</v>
      </c>
      <c r="C5">
        <v>1054189</v>
      </c>
      <c r="D5">
        <v>1058523</v>
      </c>
      <c r="E5" t="str">
        <f>HYPERLINK("http://imap3images.s3-website-us-east-1.amazonaws.com/1058523/p/IMG_7162.JPG", "View")</f>
        <v>View</v>
      </c>
      <c r="F5" t="s">
        <v>19</v>
      </c>
      <c r="G5" t="s">
        <v>20</v>
      </c>
      <c r="H5">
        <v>1103716</v>
      </c>
      <c r="I5" t="str">
        <f>HYPERLINK("https://www.inaturalist.org/taxa/1103716-Litylenchus-crenatae", "View")</f>
        <v>View</v>
      </c>
      <c r="J5" t="s">
        <v>21</v>
      </c>
      <c r="K5" t="s">
        <v>22</v>
      </c>
      <c r="L5">
        <v>1103716</v>
      </c>
      <c r="M5">
        <v>7.9</v>
      </c>
      <c r="N5">
        <v>89.51</v>
      </c>
      <c r="P5">
        <v>1</v>
      </c>
      <c r="R5" t="s">
        <v>23</v>
      </c>
      <c r="S5" t="s">
        <v>24</v>
      </c>
      <c r="T5" t="s">
        <v>316</v>
      </c>
    </row>
    <row r="6" spans="1:20" x14ac:dyDescent="0.25">
      <c r="A6">
        <v>5</v>
      </c>
      <c r="B6" t="str">
        <f>HYPERLINK("https://imapinvasives.natureserve.org/imap/services/page/Presence/1150463.html", "View")</f>
        <v>View</v>
      </c>
      <c r="C6">
        <v>1150463</v>
      </c>
      <c r="D6">
        <v>1157323</v>
      </c>
      <c r="E6" t="str">
        <f>HYPERLINK("http://imap3images.s3-website-us-east-1.amazonaws.com/1157323/p/inat_photo_125907339.jpg", "View")</f>
        <v>View</v>
      </c>
      <c r="F6" t="s">
        <v>19</v>
      </c>
      <c r="G6" t="s">
        <v>20</v>
      </c>
      <c r="H6">
        <v>1103716</v>
      </c>
      <c r="I6" t="str">
        <f>HYPERLINK("https://www.inaturalist.org/taxa/1103716-Litylenchus-crenatae", "View")</f>
        <v>View</v>
      </c>
      <c r="J6" t="s">
        <v>21</v>
      </c>
      <c r="K6" t="s">
        <v>22</v>
      </c>
      <c r="L6">
        <v>1103716</v>
      </c>
      <c r="M6">
        <v>45.38</v>
      </c>
      <c r="N6">
        <v>99.8</v>
      </c>
      <c r="P6">
        <v>1</v>
      </c>
      <c r="R6" t="s">
        <v>23</v>
      </c>
      <c r="S6" t="s">
        <v>24</v>
      </c>
      <c r="T6" t="s">
        <v>316</v>
      </c>
    </row>
    <row r="7" spans="1:20" x14ac:dyDescent="0.25">
      <c r="A7">
        <v>6</v>
      </c>
      <c r="B7" t="str">
        <f>HYPERLINK("https://imapinvasives.natureserve.org/imap/services/page/Presence/1150464.html", "View")</f>
        <v>View</v>
      </c>
      <c r="C7">
        <v>1150464</v>
      </c>
      <c r="D7">
        <v>1157324</v>
      </c>
      <c r="E7" t="str">
        <f>HYPERLINK("http://imap3images.s3-website-us-east-1.amazonaws.com/1157324/p/inat_photo_127764591.jpg", "View")</f>
        <v>View</v>
      </c>
      <c r="F7" t="s">
        <v>19</v>
      </c>
      <c r="G7" t="s">
        <v>20</v>
      </c>
      <c r="H7">
        <v>1103716</v>
      </c>
      <c r="I7" t="str">
        <f>HYPERLINK("https://www.inaturalist.org/taxa/49202-Fagus-grandifolia", "View")</f>
        <v>View</v>
      </c>
      <c r="J7" t="s">
        <v>25</v>
      </c>
      <c r="K7" t="s">
        <v>26</v>
      </c>
      <c r="L7">
        <v>49202</v>
      </c>
      <c r="M7">
        <v>75.53</v>
      </c>
      <c r="N7">
        <v>83.95</v>
      </c>
      <c r="P7">
        <v>0</v>
      </c>
      <c r="R7" t="s">
        <v>27</v>
      </c>
      <c r="S7" t="s">
        <v>28</v>
      </c>
      <c r="T7" t="s">
        <v>317</v>
      </c>
    </row>
    <row r="8" spans="1:20" x14ac:dyDescent="0.25">
      <c r="A8">
        <v>7</v>
      </c>
      <c r="B8" t="str">
        <f>HYPERLINK("https://imapinvasives.natureserve.org/imap/services/page/Presence/1438982.html", "View")</f>
        <v>View</v>
      </c>
      <c r="C8">
        <v>1438982</v>
      </c>
      <c r="D8">
        <v>1453303</v>
      </c>
      <c r="E8" t="str">
        <f>HYPERLINK("http://imap3images.s3-website-us-east-1.amazonaws.com/1453303/p/imap_app_photo_1723051278515.jpg", "View")</f>
        <v>View</v>
      </c>
      <c r="F8" t="s">
        <v>19</v>
      </c>
      <c r="G8" t="s">
        <v>20</v>
      </c>
      <c r="H8">
        <v>1103716</v>
      </c>
      <c r="I8" t="str">
        <f t="shared" ref="I8:I22" si="0">HYPERLINK("https://www.inaturalist.org/taxa/1103716-Litylenchus-crenatae", "View")</f>
        <v>View</v>
      </c>
      <c r="J8" t="s">
        <v>21</v>
      </c>
      <c r="K8" t="s">
        <v>22</v>
      </c>
      <c r="L8">
        <v>1103716</v>
      </c>
      <c r="M8">
        <v>7.81</v>
      </c>
      <c r="N8">
        <v>98.75</v>
      </c>
      <c r="P8">
        <v>1</v>
      </c>
      <c r="R8" t="s">
        <v>23</v>
      </c>
      <c r="S8" t="s">
        <v>24</v>
      </c>
      <c r="T8" t="s">
        <v>316</v>
      </c>
    </row>
    <row r="9" spans="1:20" x14ac:dyDescent="0.25">
      <c r="A9">
        <v>8</v>
      </c>
      <c r="B9" t="str">
        <f>HYPERLINK("https://imapinvasives.natureserve.org/imap/services/page/Presence/1355978.html", "View")</f>
        <v>View</v>
      </c>
      <c r="C9">
        <v>1355978</v>
      </c>
      <c r="D9">
        <v>1373611</v>
      </c>
      <c r="E9" t="str">
        <f>HYPERLINK("http://imap3images.s3-website-us-east-1.amazonaws.com/1373611/p/BLDBroome.jpg", "View")</f>
        <v>View</v>
      </c>
      <c r="F9" t="s">
        <v>19</v>
      </c>
      <c r="G9" t="s">
        <v>20</v>
      </c>
      <c r="H9">
        <v>1103716</v>
      </c>
      <c r="I9" t="str">
        <f t="shared" si="0"/>
        <v>View</v>
      </c>
      <c r="J9" t="s">
        <v>21</v>
      </c>
      <c r="K9" t="s">
        <v>22</v>
      </c>
      <c r="L9">
        <v>1103716</v>
      </c>
      <c r="M9">
        <v>9.1300000000000008</v>
      </c>
      <c r="N9">
        <v>99.75</v>
      </c>
      <c r="P9">
        <v>1</v>
      </c>
      <c r="R9" t="s">
        <v>23</v>
      </c>
      <c r="S9" t="s">
        <v>24</v>
      </c>
      <c r="T9" t="s">
        <v>316</v>
      </c>
    </row>
    <row r="10" spans="1:20" x14ac:dyDescent="0.25">
      <c r="A10">
        <v>9</v>
      </c>
      <c r="B10" t="str">
        <f>HYPERLINK("https://imapinvasives.natureserve.org/imap/services/page/Presence/1274854.html", "View")</f>
        <v>View</v>
      </c>
      <c r="C10">
        <v>1274854</v>
      </c>
      <c r="D10">
        <v>1284162</v>
      </c>
      <c r="E10" t="str">
        <f>HYPERLINK("http://imap3images.s3-website-us-east-1.amazonaws.com/1284162/p/imap_app_photo_1655306017058.jpg", "View")</f>
        <v>View</v>
      </c>
      <c r="F10" t="s">
        <v>19</v>
      </c>
      <c r="G10" t="s">
        <v>20</v>
      </c>
      <c r="H10">
        <v>1103716</v>
      </c>
      <c r="I10" t="str">
        <f t="shared" si="0"/>
        <v>View</v>
      </c>
      <c r="J10" t="s">
        <v>21</v>
      </c>
      <c r="K10" t="s">
        <v>22</v>
      </c>
      <c r="L10">
        <v>1103716</v>
      </c>
      <c r="M10">
        <v>9.69</v>
      </c>
      <c r="N10">
        <v>64.92</v>
      </c>
      <c r="P10">
        <v>1</v>
      </c>
      <c r="R10" t="s">
        <v>23</v>
      </c>
      <c r="S10" t="s">
        <v>24</v>
      </c>
      <c r="T10" t="s">
        <v>316</v>
      </c>
    </row>
    <row r="11" spans="1:20" x14ac:dyDescent="0.25">
      <c r="A11">
        <v>10</v>
      </c>
      <c r="B11" t="str">
        <f>HYPERLINK("https://imapinvasives.natureserve.org/imap/services/page/Presence/1282591.html", "View")</f>
        <v>View</v>
      </c>
      <c r="C11">
        <v>1282591</v>
      </c>
      <c r="D11">
        <v>1292064</v>
      </c>
      <c r="E11" t="str">
        <f>HYPERLINK("http://imap3images.s3-website-us-east-1.amazonaws.com/1292064/p/imap_app_photo_1658013613779.jpg", "View")</f>
        <v>View</v>
      </c>
      <c r="F11" t="s">
        <v>19</v>
      </c>
      <c r="G11" t="s">
        <v>20</v>
      </c>
      <c r="H11">
        <v>1103716</v>
      </c>
      <c r="I11" t="str">
        <f t="shared" si="0"/>
        <v>View</v>
      </c>
      <c r="J11" t="s">
        <v>21</v>
      </c>
      <c r="K11" t="s">
        <v>22</v>
      </c>
      <c r="L11">
        <v>1103716</v>
      </c>
      <c r="M11">
        <v>8.11</v>
      </c>
      <c r="N11">
        <v>63.61</v>
      </c>
      <c r="P11">
        <v>1</v>
      </c>
      <c r="R11" t="s">
        <v>23</v>
      </c>
      <c r="S11" t="s">
        <v>24</v>
      </c>
      <c r="T11" t="s">
        <v>316</v>
      </c>
    </row>
    <row r="12" spans="1:20" x14ac:dyDescent="0.25">
      <c r="A12">
        <v>11</v>
      </c>
      <c r="B12" t="str">
        <f>HYPERLINK("https://imapinvasives.natureserve.org/imap/services/page/Presence/1395814.html", "View")</f>
        <v>View</v>
      </c>
      <c r="C12">
        <v>1395814</v>
      </c>
      <c r="D12">
        <v>1414267</v>
      </c>
      <c r="E12" t="str">
        <f>HYPERLINK("http://imap3images.s3-website-us-east-1.amazonaws.com/1414267/p/imap_app_photo_1715295124115.jpg", "View")</f>
        <v>View</v>
      </c>
      <c r="F12" t="s">
        <v>19</v>
      </c>
      <c r="G12" t="s">
        <v>20</v>
      </c>
      <c r="H12">
        <v>1103716</v>
      </c>
      <c r="I12" t="str">
        <f t="shared" si="0"/>
        <v>View</v>
      </c>
      <c r="J12" t="s">
        <v>21</v>
      </c>
      <c r="K12" t="s">
        <v>22</v>
      </c>
      <c r="L12">
        <v>1103716</v>
      </c>
      <c r="M12">
        <v>5.59</v>
      </c>
      <c r="N12">
        <v>97.62</v>
      </c>
      <c r="P12">
        <v>1</v>
      </c>
      <c r="R12" t="s">
        <v>23</v>
      </c>
      <c r="S12" t="s">
        <v>24</v>
      </c>
      <c r="T12" t="s">
        <v>316</v>
      </c>
    </row>
    <row r="13" spans="1:20" x14ac:dyDescent="0.25">
      <c r="A13">
        <v>12</v>
      </c>
      <c r="B13" t="str">
        <f>HYPERLINK("https://imapinvasives.natureserve.org/imap/services/page/Presence/1413865.html", "View")</f>
        <v>View</v>
      </c>
      <c r="C13">
        <v>1413865</v>
      </c>
      <c r="D13">
        <v>1427364</v>
      </c>
      <c r="E13" t="str">
        <f>HYPERLINK("http://imap3images.s3-website-us-east-1.amazonaws.com/1427364/p/IMG_20240629_095851802.jpg", "View")</f>
        <v>View</v>
      </c>
      <c r="F13" t="s">
        <v>19</v>
      </c>
      <c r="G13" t="s">
        <v>20</v>
      </c>
      <c r="H13">
        <v>1103716</v>
      </c>
      <c r="I13" t="str">
        <f t="shared" si="0"/>
        <v>View</v>
      </c>
      <c r="J13" t="s">
        <v>21</v>
      </c>
      <c r="K13" t="s">
        <v>22</v>
      </c>
      <c r="L13">
        <v>1103716</v>
      </c>
      <c r="M13">
        <v>5.59</v>
      </c>
      <c r="N13">
        <v>96.43</v>
      </c>
      <c r="P13">
        <v>1</v>
      </c>
      <c r="R13" t="s">
        <v>23</v>
      </c>
      <c r="S13" t="s">
        <v>24</v>
      </c>
      <c r="T13" t="s">
        <v>316</v>
      </c>
    </row>
    <row r="14" spans="1:20" x14ac:dyDescent="0.25">
      <c r="A14">
        <v>13</v>
      </c>
      <c r="B14" t="str">
        <f>HYPERLINK("https://imapinvasives.natureserve.org/imap/services/page/Presence/1146390.html", "View")</f>
        <v>View</v>
      </c>
      <c r="C14">
        <v>1146390</v>
      </c>
      <c r="D14">
        <v>1153000</v>
      </c>
      <c r="E14" t="str">
        <f>HYPERLINK("http://imap3images.s3-website-us-east-1.amazonaws.com/1153000/p/HH_Beech.JPG", "View")</f>
        <v>View</v>
      </c>
      <c r="F14" t="s">
        <v>19</v>
      </c>
      <c r="G14" t="s">
        <v>20</v>
      </c>
      <c r="H14">
        <v>1103716</v>
      </c>
      <c r="I14" t="str">
        <f t="shared" si="0"/>
        <v>View</v>
      </c>
      <c r="J14" t="s">
        <v>21</v>
      </c>
      <c r="K14" t="s">
        <v>22</v>
      </c>
      <c r="L14">
        <v>1103716</v>
      </c>
      <c r="M14">
        <v>12.08</v>
      </c>
      <c r="N14">
        <v>99.49</v>
      </c>
      <c r="P14">
        <v>1</v>
      </c>
      <c r="R14" t="s">
        <v>23</v>
      </c>
      <c r="S14" t="s">
        <v>24</v>
      </c>
      <c r="T14" t="s">
        <v>316</v>
      </c>
    </row>
    <row r="15" spans="1:20" x14ac:dyDescent="0.25">
      <c r="A15">
        <v>14</v>
      </c>
      <c r="B15" t="str">
        <f>HYPERLINK("https://imapinvasives.natureserve.org/imap/services/page/Presence/1341737.html", "View")</f>
        <v>View</v>
      </c>
      <c r="C15">
        <v>1341737</v>
      </c>
      <c r="D15">
        <v>1357095</v>
      </c>
      <c r="E15" t="str">
        <f>HYPERLINK("http://imap3images.s3-website-us-east-1.amazonaws.com/1357095/p/imap_app_photo_1690216464379.jpg", "View")</f>
        <v>View</v>
      </c>
      <c r="F15" t="s">
        <v>19</v>
      </c>
      <c r="G15" t="s">
        <v>20</v>
      </c>
      <c r="H15">
        <v>1103716</v>
      </c>
      <c r="I15" t="str">
        <f t="shared" si="0"/>
        <v>View</v>
      </c>
      <c r="J15" t="s">
        <v>21</v>
      </c>
      <c r="K15" t="s">
        <v>22</v>
      </c>
      <c r="L15">
        <v>1103716</v>
      </c>
      <c r="M15">
        <v>12.08</v>
      </c>
      <c r="N15">
        <v>98.8</v>
      </c>
      <c r="P15">
        <v>1</v>
      </c>
      <c r="R15" t="s">
        <v>23</v>
      </c>
      <c r="S15" t="s">
        <v>24</v>
      </c>
      <c r="T15" t="s">
        <v>316</v>
      </c>
    </row>
    <row r="16" spans="1:20" x14ac:dyDescent="0.25">
      <c r="A16">
        <v>15</v>
      </c>
      <c r="B16" t="str">
        <f>HYPERLINK("https://imapinvasives.natureserve.org/imap/services/page/Presence/1348181.html", "View")</f>
        <v>View</v>
      </c>
      <c r="C16">
        <v>1348181</v>
      </c>
      <c r="D16">
        <v>1364876</v>
      </c>
      <c r="E16" t="str">
        <f>HYPERLINK("http://imap3images.s3-website-us-east-1.amazonaws.com/1364876/p/imap_app_photo_1691973517055.jpg", "View")</f>
        <v>View</v>
      </c>
      <c r="F16" t="s">
        <v>19</v>
      </c>
      <c r="G16" t="s">
        <v>20</v>
      </c>
      <c r="H16">
        <v>1103716</v>
      </c>
      <c r="I16" t="str">
        <f t="shared" si="0"/>
        <v>View</v>
      </c>
      <c r="J16" t="s">
        <v>21</v>
      </c>
      <c r="K16" t="s">
        <v>22</v>
      </c>
      <c r="L16">
        <v>1103716</v>
      </c>
      <c r="M16">
        <v>8.6999999999999993</v>
      </c>
      <c r="N16">
        <v>99.42</v>
      </c>
      <c r="P16">
        <v>1</v>
      </c>
      <c r="R16" t="s">
        <v>23</v>
      </c>
      <c r="S16" t="s">
        <v>24</v>
      </c>
      <c r="T16" t="s">
        <v>316</v>
      </c>
    </row>
    <row r="17" spans="1:20" x14ac:dyDescent="0.25">
      <c r="A17">
        <v>16</v>
      </c>
      <c r="B17" t="str">
        <f>HYPERLINK("https://imapinvasives.natureserve.org/imap/services/page/Presence/1349578.html", "View")</f>
        <v>View</v>
      </c>
      <c r="C17">
        <v>1349578</v>
      </c>
      <c r="D17">
        <v>1366523</v>
      </c>
      <c r="E17" t="str">
        <f>HYPERLINK("http://imap3images.s3-website-us-east-1.amazonaws.com/1366523/p/Catling_BLD_2.JPG", "View")</f>
        <v>View</v>
      </c>
      <c r="F17" t="s">
        <v>19</v>
      </c>
      <c r="G17" t="s">
        <v>20</v>
      </c>
      <c r="H17">
        <v>1103716</v>
      </c>
      <c r="I17" t="str">
        <f t="shared" si="0"/>
        <v>View</v>
      </c>
      <c r="J17" t="s">
        <v>21</v>
      </c>
      <c r="K17" t="s">
        <v>22</v>
      </c>
      <c r="L17">
        <v>1103716</v>
      </c>
      <c r="M17">
        <v>8.6999999999999993</v>
      </c>
      <c r="N17">
        <v>84.87</v>
      </c>
      <c r="P17">
        <v>1</v>
      </c>
      <c r="R17" t="s">
        <v>23</v>
      </c>
      <c r="S17" t="s">
        <v>24</v>
      </c>
      <c r="T17" t="s">
        <v>316</v>
      </c>
    </row>
    <row r="18" spans="1:20" x14ac:dyDescent="0.25">
      <c r="A18">
        <v>17</v>
      </c>
      <c r="B18" t="str">
        <f>HYPERLINK("https://imapinvasives.natureserve.org/imap/services/page/Presence/1418041.html", "View")</f>
        <v>View</v>
      </c>
      <c r="C18">
        <v>1418041</v>
      </c>
      <c r="D18">
        <v>1431689</v>
      </c>
      <c r="E18" t="str">
        <f>HYPERLINK("http://imap3images.s3-website-us-east-1.amazonaws.com/1431689/p/imap_app_photo_1720708102127.jpg", "View")</f>
        <v>View</v>
      </c>
      <c r="F18" t="s">
        <v>19</v>
      </c>
      <c r="G18" t="s">
        <v>20</v>
      </c>
      <c r="H18">
        <v>1103716</v>
      </c>
      <c r="I18" t="str">
        <f t="shared" si="0"/>
        <v>View</v>
      </c>
      <c r="J18" t="s">
        <v>21</v>
      </c>
      <c r="K18" t="s">
        <v>22</v>
      </c>
      <c r="L18">
        <v>1103716</v>
      </c>
      <c r="M18">
        <v>5.94</v>
      </c>
      <c r="N18">
        <v>94.65</v>
      </c>
      <c r="P18">
        <v>1</v>
      </c>
      <c r="R18" t="s">
        <v>23</v>
      </c>
      <c r="S18" t="s">
        <v>24</v>
      </c>
      <c r="T18" t="s">
        <v>316</v>
      </c>
    </row>
    <row r="19" spans="1:20" x14ac:dyDescent="0.25">
      <c r="A19">
        <v>18</v>
      </c>
      <c r="B19" t="str">
        <f>HYPERLINK("https://imapinvasives.natureserve.org/imap/services/page/Presence/1410144.html", "View")</f>
        <v>View</v>
      </c>
      <c r="C19">
        <v>1410144</v>
      </c>
      <c r="D19">
        <v>1422593</v>
      </c>
      <c r="E19" t="str">
        <f>HYPERLINK("http://imap3images.s3-website-us-east-1.amazonaws.com/1422593/p/imap_app_photo_1717417660553.jpg", "View")</f>
        <v>View</v>
      </c>
      <c r="F19" t="s">
        <v>19</v>
      </c>
      <c r="G19" t="s">
        <v>20</v>
      </c>
      <c r="H19">
        <v>1103716</v>
      </c>
      <c r="I19" t="str">
        <f t="shared" si="0"/>
        <v>View</v>
      </c>
      <c r="J19" t="s">
        <v>21</v>
      </c>
      <c r="K19" t="s">
        <v>22</v>
      </c>
      <c r="L19">
        <v>1103716</v>
      </c>
      <c r="M19">
        <v>5.94</v>
      </c>
      <c r="N19">
        <v>94.65</v>
      </c>
      <c r="P19">
        <v>1</v>
      </c>
      <c r="R19" t="s">
        <v>23</v>
      </c>
      <c r="S19" t="s">
        <v>24</v>
      </c>
      <c r="T19" t="s">
        <v>316</v>
      </c>
    </row>
    <row r="20" spans="1:20" x14ac:dyDescent="0.25">
      <c r="A20">
        <v>19</v>
      </c>
      <c r="B20" t="str">
        <f>HYPERLINK("https://imapinvasives.natureserve.org/imap/services/page/Presence/1409147.html", "View")</f>
        <v>View</v>
      </c>
      <c r="C20">
        <v>1409147</v>
      </c>
      <c r="D20">
        <v>1421550</v>
      </c>
      <c r="E20" t="str">
        <f>HYPERLINK("http://imap3images.s3-website-us-east-1.amazonaws.com/1421550/p/imap_app_photo_1716739517536.jpg", "View")</f>
        <v>View</v>
      </c>
      <c r="F20" t="s">
        <v>19</v>
      </c>
      <c r="G20" t="s">
        <v>20</v>
      </c>
      <c r="H20">
        <v>1103716</v>
      </c>
      <c r="I20" t="str">
        <f t="shared" si="0"/>
        <v>View</v>
      </c>
      <c r="J20" t="s">
        <v>21</v>
      </c>
      <c r="K20" t="s">
        <v>22</v>
      </c>
      <c r="L20">
        <v>1103716</v>
      </c>
      <c r="M20">
        <v>16.670000000000002</v>
      </c>
      <c r="N20">
        <v>96.05</v>
      </c>
      <c r="P20">
        <v>1</v>
      </c>
      <c r="R20" t="s">
        <v>23</v>
      </c>
      <c r="S20" t="s">
        <v>24</v>
      </c>
      <c r="T20" t="s">
        <v>316</v>
      </c>
    </row>
    <row r="21" spans="1:20" x14ac:dyDescent="0.25">
      <c r="A21">
        <v>20</v>
      </c>
      <c r="B21" t="str">
        <f>HYPERLINK("https://imapinvasives.natureserve.org/imap/services/page/Presence/1443576.html", "View")</f>
        <v>View</v>
      </c>
      <c r="C21">
        <v>1443576</v>
      </c>
      <c r="D21">
        <v>1458209</v>
      </c>
      <c r="E21" t="str">
        <f>HYPERLINK("http://imap3images.s3-website-us-east-1.amazonaws.com/1458209/p/IMG_9099.jpeg", "View")</f>
        <v>View</v>
      </c>
      <c r="F21" t="s">
        <v>19</v>
      </c>
      <c r="G21" t="s">
        <v>20</v>
      </c>
      <c r="H21">
        <v>1103716</v>
      </c>
      <c r="I21" t="str">
        <f t="shared" si="0"/>
        <v>View</v>
      </c>
      <c r="J21" t="s">
        <v>21</v>
      </c>
      <c r="K21" t="s">
        <v>22</v>
      </c>
      <c r="L21">
        <v>1103716</v>
      </c>
      <c r="M21">
        <v>16.670000000000002</v>
      </c>
      <c r="N21">
        <v>84.59</v>
      </c>
      <c r="P21">
        <v>1</v>
      </c>
      <c r="R21" t="s">
        <v>23</v>
      </c>
      <c r="S21" t="s">
        <v>24</v>
      </c>
      <c r="T21" t="s">
        <v>316</v>
      </c>
    </row>
    <row r="22" spans="1:20" x14ac:dyDescent="0.25">
      <c r="A22">
        <v>21</v>
      </c>
      <c r="B22" t="str">
        <f>HYPERLINK("https://imapinvasives.natureserve.org/imap/services/page/Presence/1437996.html", "View")</f>
        <v>View</v>
      </c>
      <c r="C22">
        <v>1437996</v>
      </c>
      <c r="D22">
        <v>1452238</v>
      </c>
      <c r="E22" t="str">
        <f>HYPERLINK("http://imap3images.s3-website-us-east-1.amazonaws.com/1452238/p/IMG_E8458.JPG", "View")</f>
        <v>View</v>
      </c>
      <c r="F22" t="s">
        <v>19</v>
      </c>
      <c r="G22" t="s">
        <v>20</v>
      </c>
      <c r="H22">
        <v>1103716</v>
      </c>
      <c r="I22" t="str">
        <f t="shared" si="0"/>
        <v>View</v>
      </c>
      <c r="J22" t="s">
        <v>21</v>
      </c>
      <c r="K22" t="s">
        <v>22</v>
      </c>
      <c r="L22">
        <v>1103716</v>
      </c>
      <c r="M22">
        <v>5.94</v>
      </c>
      <c r="N22">
        <v>68.319999999999993</v>
      </c>
      <c r="P22">
        <v>1</v>
      </c>
      <c r="R22" t="s">
        <v>23</v>
      </c>
      <c r="S22" t="s">
        <v>24</v>
      </c>
      <c r="T22" t="s">
        <v>316</v>
      </c>
    </row>
    <row r="23" spans="1:20" x14ac:dyDescent="0.25">
      <c r="A23">
        <v>22</v>
      </c>
      <c r="B23" t="str">
        <f>HYPERLINK("https://imapinvasives.natureserve.org/imap/services/page/Presence/1439929.html", "View")</f>
        <v>View</v>
      </c>
      <c r="C23">
        <v>1439929</v>
      </c>
      <c r="D23">
        <v>1454369</v>
      </c>
      <c r="E23" t="str">
        <f>HYPERLINK("http://imap3images.s3-website-us-east-1.amazonaws.com/1454369/p/imap_app_photo_1723567567730.jpg", "View")</f>
        <v>View</v>
      </c>
      <c r="F23" t="s">
        <v>19</v>
      </c>
      <c r="G23" t="s">
        <v>20</v>
      </c>
      <c r="H23">
        <v>1103716</v>
      </c>
      <c r="I23" t="str">
        <f>HYPERLINK("https://www.inaturalist.org/taxa/49202-Fagus-grandifolia", "View")</f>
        <v>View</v>
      </c>
      <c r="J23" t="s">
        <v>25</v>
      </c>
      <c r="K23" t="s">
        <v>26</v>
      </c>
      <c r="L23">
        <v>49202</v>
      </c>
      <c r="M23">
        <v>31.79</v>
      </c>
      <c r="N23">
        <v>69.38</v>
      </c>
      <c r="P23">
        <v>0</v>
      </c>
      <c r="R23" t="s">
        <v>29</v>
      </c>
      <c r="S23" t="s">
        <v>24</v>
      </c>
      <c r="T23" t="s">
        <v>316</v>
      </c>
    </row>
    <row r="24" spans="1:20" x14ac:dyDescent="0.25">
      <c r="A24">
        <v>23</v>
      </c>
      <c r="B24" t="str">
        <f>HYPERLINK("https://imapinvasives.natureserve.org/imap/services/page/Presence/1337654.html", "View")</f>
        <v>View</v>
      </c>
      <c r="C24">
        <v>1337654</v>
      </c>
      <c r="D24">
        <v>1352231</v>
      </c>
      <c r="E24" t="str">
        <f>HYPERLINK("http://imap3images.s3-website-us-east-1.amazonaws.com/1352231/p/2023_6.22_Beech_Leaf_Disease_Pic001.jpeg", "View")</f>
        <v>View</v>
      </c>
      <c r="F24" t="s">
        <v>19</v>
      </c>
      <c r="G24" t="s">
        <v>20</v>
      </c>
      <c r="H24">
        <v>1103716</v>
      </c>
      <c r="I24" t="str">
        <f>HYPERLINK("https://www.inaturalist.org/taxa/496170-Acalitus-ferrugineum", "View")</f>
        <v>View</v>
      </c>
      <c r="J24" t="s">
        <v>30</v>
      </c>
      <c r="K24" t="s">
        <v>31</v>
      </c>
      <c r="L24">
        <v>496170</v>
      </c>
      <c r="M24">
        <v>4.95</v>
      </c>
      <c r="N24">
        <v>72.819999999999993</v>
      </c>
      <c r="P24">
        <v>0</v>
      </c>
      <c r="R24" t="s">
        <v>32</v>
      </c>
      <c r="S24" t="s">
        <v>24</v>
      </c>
      <c r="T24" t="s">
        <v>316</v>
      </c>
    </row>
    <row r="25" spans="1:20" x14ac:dyDescent="0.25">
      <c r="A25">
        <v>24</v>
      </c>
      <c r="B25" t="str">
        <f>HYPERLINK("https://imapinvasives.natureserve.org/imap/services/page/Presence/1409352.html", "View")</f>
        <v>View</v>
      </c>
      <c r="C25">
        <v>1409352</v>
      </c>
      <c r="D25">
        <v>1421755</v>
      </c>
      <c r="E25" t="str">
        <f>HYPERLINK("http://imap3images.s3-website-us-east-1.amazonaws.com/1421755/p/BLD_SC_Cherry_Ridge_Wild_Forest_May24_4.jpg", "View")</f>
        <v>View</v>
      </c>
      <c r="F25" t="s">
        <v>19</v>
      </c>
      <c r="G25" t="s">
        <v>20</v>
      </c>
      <c r="H25">
        <v>1103716</v>
      </c>
      <c r="I25" t="str">
        <f>HYPERLINK("https://www.inaturalist.org/taxa/1103716-Litylenchus-crenatae", "View")</f>
        <v>View</v>
      </c>
      <c r="J25" t="s">
        <v>21</v>
      </c>
      <c r="K25" t="s">
        <v>22</v>
      </c>
      <c r="L25">
        <v>1103716</v>
      </c>
      <c r="M25">
        <v>10.41</v>
      </c>
      <c r="N25">
        <v>89.25</v>
      </c>
      <c r="P25">
        <v>1</v>
      </c>
      <c r="R25" t="s">
        <v>23</v>
      </c>
      <c r="S25" t="s">
        <v>24</v>
      </c>
      <c r="T25" t="s">
        <v>316</v>
      </c>
    </row>
    <row r="26" spans="1:20" x14ac:dyDescent="0.25">
      <c r="A26">
        <v>25</v>
      </c>
      <c r="B26" t="str">
        <f>HYPERLINK("https://imapinvasives.natureserve.org/imap/services/page/Presence/1395813.html", "View")</f>
        <v>View</v>
      </c>
      <c r="C26">
        <v>1395813</v>
      </c>
      <c r="D26">
        <v>1414266</v>
      </c>
      <c r="E26" t="str">
        <f>HYPERLINK("http://imap3images.s3-website-us-east-1.amazonaws.com/1414266/p/imap_app_photo_1715293326062.jpg", "View")</f>
        <v>View</v>
      </c>
      <c r="F26" t="s">
        <v>19</v>
      </c>
      <c r="G26" t="s">
        <v>20</v>
      </c>
      <c r="H26">
        <v>1103716</v>
      </c>
      <c r="I26" t="str">
        <f>HYPERLINK("https://www.inaturalist.org/taxa/1103716-Litylenchus-crenatae", "View")</f>
        <v>View</v>
      </c>
      <c r="J26" t="s">
        <v>21</v>
      </c>
      <c r="K26" t="s">
        <v>22</v>
      </c>
      <c r="L26">
        <v>1103716</v>
      </c>
      <c r="M26">
        <v>21.77</v>
      </c>
      <c r="N26">
        <v>96.89</v>
      </c>
      <c r="P26">
        <v>1</v>
      </c>
      <c r="R26" t="s">
        <v>23</v>
      </c>
      <c r="S26" t="s">
        <v>24</v>
      </c>
      <c r="T26" t="s">
        <v>316</v>
      </c>
    </row>
    <row r="27" spans="1:20" x14ac:dyDescent="0.25">
      <c r="A27">
        <v>26</v>
      </c>
      <c r="B27" t="str">
        <f>HYPERLINK("https://imapinvasives.natureserve.org/imap/services/page/Presence/1352792.html", "View")</f>
        <v>View</v>
      </c>
      <c r="C27">
        <v>1352792</v>
      </c>
      <c r="D27">
        <v>1370181</v>
      </c>
      <c r="E27" t="str">
        <f>HYPERLINK("http://imap3images.s3-website-us-east-1.amazonaws.com/1370181/p/imap_app_photo_1694309193373.jpg", "View")</f>
        <v>View</v>
      </c>
      <c r="F27" t="s">
        <v>19</v>
      </c>
      <c r="G27" t="s">
        <v>20</v>
      </c>
      <c r="H27">
        <v>1103716</v>
      </c>
      <c r="I27" t="str">
        <f>HYPERLINK("https://www.inaturalist.org/taxa/49202-Fagus-grandifolia", "View")</f>
        <v>View</v>
      </c>
      <c r="J27" t="s">
        <v>25</v>
      </c>
      <c r="K27" t="s">
        <v>26</v>
      </c>
      <c r="L27">
        <v>49202</v>
      </c>
      <c r="M27">
        <v>71.569999999999993</v>
      </c>
      <c r="N27">
        <v>89.28</v>
      </c>
      <c r="P27">
        <v>0</v>
      </c>
      <c r="R27" t="s">
        <v>29</v>
      </c>
      <c r="S27" t="s">
        <v>33</v>
      </c>
      <c r="T27" t="s">
        <v>317</v>
      </c>
    </row>
    <row r="28" spans="1:20" x14ac:dyDescent="0.25">
      <c r="A28">
        <v>27</v>
      </c>
      <c r="B28" t="str">
        <f>HYPERLINK("https://imapinvasives.natureserve.org/imap/services/page/Presence/1345402.html", "View")</f>
        <v>View</v>
      </c>
      <c r="C28">
        <v>1345402</v>
      </c>
      <c r="D28">
        <v>1361612</v>
      </c>
      <c r="E28" t="str">
        <f>HYPERLINK("http://imap3images.s3-website-us-east-1.amazonaws.com/1361612/p/imap_app_photo_1691434735996.jpg", "View")</f>
        <v>View</v>
      </c>
      <c r="F28" t="s">
        <v>19</v>
      </c>
      <c r="G28" t="s">
        <v>20</v>
      </c>
      <c r="H28">
        <v>1103716</v>
      </c>
      <c r="I28" t="str">
        <f>HYPERLINK("https://www.inaturalist.org/taxa/1103716-Litylenchus-crenatae", "View")</f>
        <v>View</v>
      </c>
      <c r="J28" t="s">
        <v>21</v>
      </c>
      <c r="K28" t="s">
        <v>22</v>
      </c>
      <c r="L28">
        <v>1103716</v>
      </c>
      <c r="M28">
        <v>8.06</v>
      </c>
      <c r="N28">
        <v>30.09</v>
      </c>
      <c r="P28">
        <v>1</v>
      </c>
      <c r="R28" t="s">
        <v>23</v>
      </c>
      <c r="S28" t="s">
        <v>24</v>
      </c>
      <c r="T28" t="s">
        <v>316</v>
      </c>
    </row>
    <row r="29" spans="1:20" x14ac:dyDescent="0.25">
      <c r="A29">
        <v>28</v>
      </c>
      <c r="B29" t="str">
        <f>HYPERLINK("https://imapinvasives.natureserve.org/imap/services/page/Presence/1061795.html", "View")</f>
        <v>View</v>
      </c>
      <c r="C29">
        <v>1061795</v>
      </c>
      <c r="D29">
        <v>1066337</v>
      </c>
      <c r="E29" t="str">
        <f>HYPERLINK("http://imap3images.s3-website-us-east-1.amazonaws.com/1066337/p/imap_app_photo_1596635573363.jpg", "View")</f>
        <v>View</v>
      </c>
      <c r="F29" t="s">
        <v>19</v>
      </c>
      <c r="G29" t="s">
        <v>20</v>
      </c>
      <c r="H29">
        <v>1103716</v>
      </c>
      <c r="I29" t="str">
        <f>HYPERLINK("https://www.inaturalist.org/taxa/1103716-Litylenchus-crenatae", "View")</f>
        <v>View</v>
      </c>
      <c r="J29" t="s">
        <v>21</v>
      </c>
      <c r="K29" t="s">
        <v>22</v>
      </c>
      <c r="L29">
        <v>1103716</v>
      </c>
      <c r="M29">
        <v>10.29</v>
      </c>
      <c r="N29">
        <v>37.630000000000003</v>
      </c>
      <c r="P29">
        <v>1</v>
      </c>
      <c r="R29" t="s">
        <v>23</v>
      </c>
      <c r="S29" t="s">
        <v>24</v>
      </c>
      <c r="T29" t="s">
        <v>316</v>
      </c>
    </row>
    <row r="30" spans="1:20" x14ac:dyDescent="0.25">
      <c r="A30">
        <v>29</v>
      </c>
      <c r="B30" t="str">
        <f>HYPERLINK("https://imapinvasives.natureserve.org/imap/services/page/Presence/1152316.html", "View")</f>
        <v>View</v>
      </c>
      <c r="C30">
        <v>1152316</v>
      </c>
      <c r="D30">
        <v>1159238</v>
      </c>
      <c r="E30" t="str">
        <f>HYPERLINK("http://imap3images.s3-website-us-east-1.amazonaws.com/1159238/p/imap_app_photo_1627011573062.jpg", "View")</f>
        <v>View</v>
      </c>
      <c r="F30" t="s">
        <v>19</v>
      </c>
      <c r="G30" t="s">
        <v>20</v>
      </c>
      <c r="H30">
        <v>1103716</v>
      </c>
      <c r="I30" t="str">
        <f>HYPERLINK("https://www.inaturalist.org/taxa/1103716-Litylenchus-crenatae", "View")</f>
        <v>View</v>
      </c>
      <c r="J30" t="s">
        <v>21</v>
      </c>
      <c r="K30" t="s">
        <v>22</v>
      </c>
      <c r="L30">
        <v>1103716</v>
      </c>
      <c r="M30">
        <v>8.06</v>
      </c>
      <c r="N30">
        <v>91.57</v>
      </c>
      <c r="P30">
        <v>1</v>
      </c>
      <c r="R30" t="s">
        <v>23</v>
      </c>
      <c r="S30" t="s">
        <v>24</v>
      </c>
      <c r="T30" t="s">
        <v>316</v>
      </c>
    </row>
    <row r="31" spans="1:20" x14ac:dyDescent="0.25">
      <c r="A31">
        <v>30</v>
      </c>
      <c r="B31" t="str">
        <f>HYPERLINK("https://imapinvasives.natureserve.org/imap/services/page/Presence/1152317.html", "View")</f>
        <v>View</v>
      </c>
      <c r="C31">
        <v>1152317</v>
      </c>
      <c r="D31">
        <v>1159239</v>
      </c>
      <c r="E31" t="str">
        <f>HYPERLINK("http://imap3images.s3-website-us-east-1.amazonaws.com/1159239/p/imap_app_photo_1627011577895.jpg", "View")</f>
        <v>View</v>
      </c>
      <c r="F31" t="s">
        <v>19</v>
      </c>
      <c r="G31" t="s">
        <v>20</v>
      </c>
      <c r="H31">
        <v>1103716</v>
      </c>
      <c r="I31" t="str">
        <f>HYPERLINK("https://www.inaturalist.org/taxa/49202-Fagus-grandifolia", "View")</f>
        <v>View</v>
      </c>
      <c r="J31" t="s">
        <v>25</v>
      </c>
      <c r="K31" t="s">
        <v>26</v>
      </c>
      <c r="L31">
        <v>49202</v>
      </c>
      <c r="M31">
        <v>34.9</v>
      </c>
      <c r="N31">
        <v>59.35</v>
      </c>
      <c r="P31">
        <v>0</v>
      </c>
      <c r="R31" t="s">
        <v>27</v>
      </c>
      <c r="S31" t="s">
        <v>24</v>
      </c>
      <c r="T31" t="s">
        <v>316</v>
      </c>
    </row>
    <row r="32" spans="1:20" x14ac:dyDescent="0.25">
      <c r="A32">
        <v>31</v>
      </c>
      <c r="B32" t="str">
        <f>HYPERLINK("https://imapinvasives.natureserve.org/imap/services/page/Presence/1439781.html", "View")</f>
        <v>View</v>
      </c>
      <c r="C32">
        <v>1439781</v>
      </c>
      <c r="D32">
        <v>1454215</v>
      </c>
      <c r="E32" t="str">
        <f>HYPERLINK("http://imap3images.s3-website-us-east-1.amazonaws.com/1454215/p/imap_app_photo_1723503776867.jpg", "View")</f>
        <v>View</v>
      </c>
      <c r="F32" t="s">
        <v>19</v>
      </c>
      <c r="G32" t="s">
        <v>20</v>
      </c>
      <c r="H32">
        <v>1103716</v>
      </c>
      <c r="I32" t="str">
        <f>HYPERLINK("https://www.inaturalist.org/taxa/1103716-Litylenchus-crenatae", "View")</f>
        <v>View</v>
      </c>
      <c r="J32" t="s">
        <v>21</v>
      </c>
      <c r="K32" t="s">
        <v>22</v>
      </c>
      <c r="L32">
        <v>1103716</v>
      </c>
      <c r="M32">
        <v>20.66</v>
      </c>
      <c r="N32">
        <v>99.33</v>
      </c>
      <c r="P32">
        <v>1</v>
      </c>
      <c r="R32" t="s">
        <v>23</v>
      </c>
      <c r="S32" t="s">
        <v>24</v>
      </c>
      <c r="T32" t="s">
        <v>316</v>
      </c>
    </row>
    <row r="33" spans="1:20" x14ac:dyDescent="0.25">
      <c r="A33">
        <v>32</v>
      </c>
      <c r="B33" t="str">
        <f>HYPERLINK("https://imapinvasives.natureserve.org/imap/services/page/Presence/1442920.html", "View")</f>
        <v>View</v>
      </c>
      <c r="C33">
        <v>1442920</v>
      </c>
      <c r="D33">
        <v>1457538</v>
      </c>
      <c r="E33" t="str">
        <f>HYPERLINK("http://imap3images.s3-website-us-east-1.amazonaws.com/1457538/p/imap_app_photo_1724869174538.jpg", "View")</f>
        <v>View</v>
      </c>
      <c r="F33" t="s">
        <v>19</v>
      </c>
      <c r="G33" t="s">
        <v>20</v>
      </c>
      <c r="H33">
        <v>1103716</v>
      </c>
      <c r="I33" t="str">
        <f>HYPERLINK("https://www.inaturalist.org/taxa/1103716-Litylenchus-crenatae", "View")</f>
        <v>View</v>
      </c>
      <c r="J33" t="s">
        <v>21</v>
      </c>
      <c r="K33" t="s">
        <v>22</v>
      </c>
      <c r="L33">
        <v>1103716</v>
      </c>
      <c r="M33">
        <v>20.66</v>
      </c>
      <c r="N33">
        <v>99.62</v>
      </c>
      <c r="P33">
        <v>1</v>
      </c>
      <c r="R33" t="s">
        <v>23</v>
      </c>
      <c r="S33" t="s">
        <v>24</v>
      </c>
      <c r="T33" t="s">
        <v>316</v>
      </c>
    </row>
    <row r="34" spans="1:20" x14ac:dyDescent="0.25">
      <c r="A34">
        <v>33</v>
      </c>
      <c r="B34" t="str">
        <f>HYPERLINK("https://imapinvasives.natureserve.org/imap/services/page/Presence/1354215.html", "View")</f>
        <v>View</v>
      </c>
      <c r="C34">
        <v>1354215</v>
      </c>
      <c r="D34">
        <v>1371661</v>
      </c>
      <c r="E34" t="str">
        <f>HYPERLINK("http://imap3images.s3-website-us-east-1.amazonaws.com/1371661/p/imap_app_photo_1695155613917.jpg", "View")</f>
        <v>View</v>
      </c>
      <c r="F34" t="s">
        <v>19</v>
      </c>
      <c r="G34" t="s">
        <v>20</v>
      </c>
      <c r="H34">
        <v>1103716</v>
      </c>
      <c r="I34" t="str">
        <f>HYPERLINK("https://www.inaturalist.org/taxa/49202-Fagus-grandifolia", "View")</f>
        <v>View</v>
      </c>
      <c r="J34" t="s">
        <v>25</v>
      </c>
      <c r="K34" t="s">
        <v>26</v>
      </c>
      <c r="L34">
        <v>49202</v>
      </c>
      <c r="M34">
        <v>34.39</v>
      </c>
      <c r="N34">
        <v>53.48</v>
      </c>
      <c r="P34">
        <v>0</v>
      </c>
      <c r="R34" t="s">
        <v>29</v>
      </c>
      <c r="S34" t="s">
        <v>34</v>
      </c>
      <c r="T34" t="s">
        <v>317</v>
      </c>
    </row>
    <row r="35" spans="1:20" x14ac:dyDescent="0.25">
      <c r="A35">
        <v>34</v>
      </c>
      <c r="B35" t="str">
        <f>HYPERLINK("https://imapinvasives.natureserve.org/imap/services/page/Presence/1354334.html", "View")</f>
        <v>View</v>
      </c>
      <c r="C35">
        <v>1354334</v>
      </c>
      <c r="D35">
        <v>1371780</v>
      </c>
      <c r="E35" t="str">
        <f>HYPERLINK("http://imap3images.s3-website-us-east-1.amazonaws.com/1371780/p/imap_app_photo_1695239553800.jpg", "View")</f>
        <v>View</v>
      </c>
      <c r="F35" t="s">
        <v>19</v>
      </c>
      <c r="G35" t="s">
        <v>20</v>
      </c>
      <c r="H35">
        <v>1103716</v>
      </c>
      <c r="I35" t="str">
        <f>HYPERLINK("https://www.inaturalist.org/taxa/1103716-Litylenchus-crenatae", "View")</f>
        <v>View</v>
      </c>
      <c r="J35" t="s">
        <v>21</v>
      </c>
      <c r="K35" t="s">
        <v>22</v>
      </c>
      <c r="L35">
        <v>1103716</v>
      </c>
      <c r="M35">
        <v>3.78</v>
      </c>
      <c r="N35">
        <v>61.55</v>
      </c>
      <c r="P35">
        <v>1</v>
      </c>
      <c r="R35" t="s">
        <v>23</v>
      </c>
      <c r="S35" t="s">
        <v>24</v>
      </c>
      <c r="T35" t="s">
        <v>316</v>
      </c>
    </row>
    <row r="36" spans="1:20" x14ac:dyDescent="0.25">
      <c r="A36">
        <v>35</v>
      </c>
      <c r="B36" t="str">
        <f>HYPERLINK("https://imapinvasives.natureserve.org/imap/services/page/Presence/1438512.html", "View")</f>
        <v>View</v>
      </c>
      <c r="C36">
        <v>1438512</v>
      </c>
      <c r="D36">
        <v>1452770</v>
      </c>
      <c r="E36" t="str">
        <f>HYPERLINK("http://imap3images.s3-website-us-east-1.amazonaws.com/1452770/p/imap_app_photo_1722531458929.jpg", "View")</f>
        <v>View</v>
      </c>
      <c r="F36" t="s">
        <v>19</v>
      </c>
      <c r="G36" t="s">
        <v>20</v>
      </c>
      <c r="H36">
        <v>1103716</v>
      </c>
      <c r="I36" t="str">
        <f>HYPERLINK("https://www.inaturalist.org/taxa/1103716-Litylenchus-crenatae", "View")</f>
        <v>View</v>
      </c>
      <c r="J36" t="s">
        <v>21</v>
      </c>
      <c r="K36" t="s">
        <v>22</v>
      </c>
      <c r="L36">
        <v>1103716</v>
      </c>
      <c r="M36">
        <v>46.52</v>
      </c>
      <c r="N36">
        <v>92.69</v>
      </c>
      <c r="P36">
        <v>1</v>
      </c>
      <c r="R36" t="s">
        <v>23</v>
      </c>
      <c r="S36" t="s">
        <v>24</v>
      </c>
      <c r="T36" t="s">
        <v>316</v>
      </c>
    </row>
    <row r="37" spans="1:20" x14ac:dyDescent="0.25">
      <c r="A37">
        <v>36</v>
      </c>
      <c r="B37" t="str">
        <f>HYPERLINK("https://imapinvasives.natureserve.org/imap/services/page/Presence/1410430.html", "View")</f>
        <v>View</v>
      </c>
      <c r="C37">
        <v>1410430</v>
      </c>
      <c r="D37">
        <v>1422882</v>
      </c>
      <c r="E37" t="str">
        <f>HYPERLINK("http://imap3images.s3-website-us-east-1.amazonaws.com/1422882/p/IMG_7577.jpg", "View")</f>
        <v>View</v>
      </c>
      <c r="F37" t="s">
        <v>19</v>
      </c>
      <c r="G37" t="s">
        <v>20</v>
      </c>
      <c r="H37">
        <v>1103716</v>
      </c>
      <c r="I37" t="str">
        <f>HYPERLINK("https://www.inaturalist.org/taxa/1103716-Litylenchus-crenatae", "View")</f>
        <v>View</v>
      </c>
      <c r="J37" t="s">
        <v>21</v>
      </c>
      <c r="K37" t="s">
        <v>22</v>
      </c>
      <c r="L37">
        <v>1103716</v>
      </c>
      <c r="M37">
        <v>46.52</v>
      </c>
      <c r="N37">
        <v>66.11</v>
      </c>
      <c r="P37">
        <v>1</v>
      </c>
      <c r="R37" t="s">
        <v>23</v>
      </c>
      <c r="S37" t="s">
        <v>24</v>
      </c>
      <c r="T37" t="s">
        <v>316</v>
      </c>
    </row>
    <row r="38" spans="1:20" x14ac:dyDescent="0.25">
      <c r="A38">
        <v>37</v>
      </c>
      <c r="B38" t="str">
        <f>HYPERLINK("https://imapinvasives.natureserve.org/imap/services/page/Presence/1273779.html", "View")</f>
        <v>View</v>
      </c>
      <c r="C38">
        <v>1273779</v>
      </c>
      <c r="D38">
        <v>1282980</v>
      </c>
      <c r="E38" t="str">
        <f>HYPERLINK("http://imap3images.s3-website-us-east-1.amazonaws.com/1282980/p/imap_app_photo_1654780533531.jpg", "View")</f>
        <v>View</v>
      </c>
      <c r="F38" t="s">
        <v>19</v>
      </c>
      <c r="G38" t="s">
        <v>20</v>
      </c>
      <c r="H38">
        <v>1103716</v>
      </c>
      <c r="I38" t="str">
        <f>HYPERLINK("https://www.inaturalist.org/taxa/1103716-Litylenchus-crenatae", "View")</f>
        <v>View</v>
      </c>
      <c r="J38" t="s">
        <v>21</v>
      </c>
      <c r="K38" t="s">
        <v>22</v>
      </c>
      <c r="L38">
        <v>1103716</v>
      </c>
      <c r="M38">
        <v>7.7</v>
      </c>
      <c r="N38">
        <v>67.61</v>
      </c>
      <c r="P38">
        <v>1</v>
      </c>
      <c r="R38" t="s">
        <v>23</v>
      </c>
      <c r="S38" t="s">
        <v>24</v>
      </c>
      <c r="T38" t="s">
        <v>316</v>
      </c>
    </row>
    <row r="39" spans="1:20" x14ac:dyDescent="0.25">
      <c r="A39">
        <v>38</v>
      </c>
      <c r="B39" t="str">
        <f>HYPERLINK("https://imapinvasives.natureserve.org/imap/services/page/Presence/1273778.html", "View")</f>
        <v>View</v>
      </c>
      <c r="C39">
        <v>1273778</v>
      </c>
      <c r="D39">
        <v>1282979</v>
      </c>
      <c r="E39" t="str">
        <f>HYPERLINK("http://imap3images.s3-website-us-east-1.amazonaws.com/1282979/p/imap_app_photo_1654780526508.jpg", "View")</f>
        <v>View</v>
      </c>
      <c r="F39" t="s">
        <v>19</v>
      </c>
      <c r="G39" t="s">
        <v>20</v>
      </c>
      <c r="H39">
        <v>1103716</v>
      </c>
      <c r="I39" t="str">
        <f>HYPERLINK("https://www.inaturalist.org/taxa/1103716-Litylenchus-crenatae", "View")</f>
        <v>View</v>
      </c>
      <c r="J39" t="s">
        <v>21</v>
      </c>
      <c r="K39" t="s">
        <v>22</v>
      </c>
      <c r="L39">
        <v>1103716</v>
      </c>
      <c r="M39">
        <v>7.7</v>
      </c>
      <c r="N39">
        <v>83.99</v>
      </c>
      <c r="P39">
        <v>1</v>
      </c>
      <c r="R39" t="s">
        <v>23</v>
      </c>
      <c r="S39" t="s">
        <v>24</v>
      </c>
      <c r="T39" t="s">
        <v>316</v>
      </c>
    </row>
    <row r="40" spans="1:20" x14ac:dyDescent="0.25">
      <c r="A40">
        <v>39</v>
      </c>
      <c r="B40" t="str">
        <f>HYPERLINK("https://imapinvasives.natureserve.org/imap/services/page/Presence/1363766.html", "View")</f>
        <v>View</v>
      </c>
      <c r="C40">
        <v>1363766</v>
      </c>
      <c r="D40">
        <v>1381679</v>
      </c>
      <c r="E40" t="str">
        <f>HYPERLINK("http://imap3images.s3-website-us-east-1.amazonaws.com/1381679/p/imap_app_photo_1700522463892.jpg", "View")</f>
        <v>View</v>
      </c>
      <c r="F40" t="s">
        <v>19</v>
      </c>
      <c r="G40" t="s">
        <v>20</v>
      </c>
      <c r="H40">
        <v>1103716</v>
      </c>
      <c r="I40" t="str">
        <f>HYPERLINK("https://www.inaturalist.org/taxa/117426-Magnolia-acuminata", "View")</f>
        <v>View</v>
      </c>
      <c r="J40" t="s">
        <v>35</v>
      </c>
      <c r="K40" t="s">
        <v>36</v>
      </c>
      <c r="L40">
        <v>117426</v>
      </c>
      <c r="M40">
        <v>11.83</v>
      </c>
      <c r="N40">
        <v>78.75</v>
      </c>
      <c r="P40">
        <v>0</v>
      </c>
      <c r="R40" t="s">
        <v>29</v>
      </c>
      <c r="S40" t="s">
        <v>24</v>
      </c>
      <c r="T40" t="s">
        <v>316</v>
      </c>
    </row>
    <row r="41" spans="1:20" x14ac:dyDescent="0.25">
      <c r="A41">
        <v>40</v>
      </c>
      <c r="B41" t="str">
        <f>HYPERLINK("https://imapinvasives.natureserve.org/imap/services/page/Presence/1152120.html", "View")</f>
        <v>View</v>
      </c>
      <c r="C41">
        <v>1152120</v>
      </c>
      <c r="D41">
        <v>1159038</v>
      </c>
      <c r="E41" t="str">
        <f>HYPERLINK("http://imap3images.s3-website-us-east-1.amazonaws.com/1159038/p/imap_app_photo_1626902718287.jpg", "View")</f>
        <v>View</v>
      </c>
      <c r="F41" t="s">
        <v>19</v>
      </c>
      <c r="G41" t="s">
        <v>20</v>
      </c>
      <c r="H41">
        <v>1103716</v>
      </c>
      <c r="I41" t="str">
        <f>HYPERLINK("https://www.inaturalist.org/taxa/1103716-Litylenchus-crenatae", "View")</f>
        <v>View</v>
      </c>
      <c r="J41" t="s">
        <v>21</v>
      </c>
      <c r="K41" t="s">
        <v>22</v>
      </c>
      <c r="L41">
        <v>1103716</v>
      </c>
      <c r="M41">
        <v>45.38</v>
      </c>
      <c r="N41">
        <v>93.56</v>
      </c>
      <c r="P41">
        <v>1</v>
      </c>
      <c r="R41" t="s">
        <v>23</v>
      </c>
      <c r="S41" t="s">
        <v>24</v>
      </c>
      <c r="T41" t="s">
        <v>316</v>
      </c>
    </row>
    <row r="42" spans="1:20" x14ac:dyDescent="0.25">
      <c r="A42">
        <v>41</v>
      </c>
      <c r="B42" t="str">
        <f>HYPERLINK("https://imapinvasives.natureserve.org/imap/services/page/Presence/1153430.html", "View")</f>
        <v>View</v>
      </c>
      <c r="C42">
        <v>1153430</v>
      </c>
      <c r="D42">
        <v>1160404</v>
      </c>
      <c r="E42" t="str">
        <f>HYPERLINK("http://imap3images.s3-website-us-east-1.amazonaws.com/1160404/p/imap_app_photo_1627739971477.jpg", "View")</f>
        <v>View</v>
      </c>
      <c r="F42" t="s">
        <v>19</v>
      </c>
      <c r="G42" t="s">
        <v>20</v>
      </c>
      <c r="H42">
        <v>1103716</v>
      </c>
      <c r="I42" t="str">
        <f>HYPERLINK("https://www.inaturalist.org/taxa/54802-Nyssa-sylvatica", "View")</f>
        <v>View</v>
      </c>
      <c r="J42" t="s">
        <v>37</v>
      </c>
      <c r="K42" t="s">
        <v>38</v>
      </c>
      <c r="L42">
        <v>54802</v>
      </c>
      <c r="M42">
        <v>61.19</v>
      </c>
      <c r="N42">
        <v>71.56</v>
      </c>
      <c r="P42">
        <v>0</v>
      </c>
      <c r="R42" t="s">
        <v>29</v>
      </c>
      <c r="S42" t="s">
        <v>39</v>
      </c>
      <c r="T42" t="s">
        <v>317</v>
      </c>
    </row>
    <row r="43" spans="1:20" x14ac:dyDescent="0.25">
      <c r="A43">
        <v>42</v>
      </c>
      <c r="B43" t="str">
        <f>HYPERLINK("https://imapinvasives.natureserve.org/imap/services/page/Presence/1407866.html", "View")</f>
        <v>View</v>
      </c>
      <c r="C43">
        <v>1407866</v>
      </c>
      <c r="D43">
        <v>1420256</v>
      </c>
      <c r="E43" t="str">
        <f>HYPERLINK("http://imap3images.s3-website-us-east-1.amazonaws.com/1420256/p/imap_app_photo_1715978460926.jpg", "View")</f>
        <v>View</v>
      </c>
      <c r="F43" t="s">
        <v>19</v>
      </c>
      <c r="G43" t="s">
        <v>20</v>
      </c>
      <c r="H43">
        <v>1103716</v>
      </c>
      <c r="I43" t="str">
        <f>HYPERLINK("https://www.inaturalist.org/taxa/1103716-Litylenchus-crenatae", "View")</f>
        <v>View</v>
      </c>
      <c r="J43" t="s">
        <v>21</v>
      </c>
      <c r="K43" t="s">
        <v>22</v>
      </c>
      <c r="L43">
        <v>1103716</v>
      </c>
      <c r="M43">
        <v>45.38</v>
      </c>
      <c r="N43">
        <v>93.14</v>
      </c>
      <c r="P43">
        <v>1</v>
      </c>
      <c r="R43" t="s">
        <v>23</v>
      </c>
      <c r="S43" t="s">
        <v>24</v>
      </c>
      <c r="T43" t="s">
        <v>316</v>
      </c>
    </row>
    <row r="44" spans="1:20" x14ac:dyDescent="0.25">
      <c r="A44">
        <v>43</v>
      </c>
      <c r="B44" t="str">
        <f>HYPERLINK("https://imapinvasives.natureserve.org/imap/services/page/Presence/1283630.html", "View")</f>
        <v>View</v>
      </c>
      <c r="C44">
        <v>1283630</v>
      </c>
      <c r="D44">
        <v>1293143</v>
      </c>
      <c r="E44" t="str">
        <f>HYPERLINK("http://imap3images.s3-website-us-east-1.amazonaws.com/1293143/p/imap_app_photo_1658762431516.jpg", "View")</f>
        <v>View</v>
      </c>
      <c r="F44" t="s">
        <v>19</v>
      </c>
      <c r="G44" t="s">
        <v>20</v>
      </c>
      <c r="H44">
        <v>1103716</v>
      </c>
      <c r="I44" t="str">
        <f>HYPERLINK("https://www.inaturalist.org/taxa/1103716-Litylenchus-crenatae", "View")</f>
        <v>View</v>
      </c>
      <c r="J44" t="s">
        <v>21</v>
      </c>
      <c r="K44" t="s">
        <v>22</v>
      </c>
      <c r="L44">
        <v>1103716</v>
      </c>
      <c r="M44">
        <v>7.46</v>
      </c>
      <c r="N44">
        <v>67.97</v>
      </c>
      <c r="P44">
        <v>1</v>
      </c>
      <c r="R44" t="s">
        <v>23</v>
      </c>
      <c r="S44" t="s">
        <v>24</v>
      </c>
      <c r="T44" t="s">
        <v>316</v>
      </c>
    </row>
    <row r="45" spans="1:20" x14ac:dyDescent="0.25">
      <c r="A45">
        <v>44</v>
      </c>
      <c r="B45" t="str">
        <f>HYPERLINK("https://imapinvasives.natureserve.org/imap/services/page/Presence/1286652.html", "View")</f>
        <v>View</v>
      </c>
      <c r="C45">
        <v>1286652</v>
      </c>
      <c r="D45">
        <v>1296415</v>
      </c>
      <c r="E45" t="str">
        <f>HYPERLINK("http://imap3images.s3-website-us-east-1.amazonaws.com/1296415/p/imap_app_photo_1660392400994.jpg", "View")</f>
        <v>View</v>
      </c>
      <c r="F45" t="s">
        <v>19</v>
      </c>
      <c r="G45" t="s">
        <v>20</v>
      </c>
      <c r="H45">
        <v>1103716</v>
      </c>
      <c r="I45" t="str">
        <f>HYPERLINK("https://www.inaturalist.org/taxa/49202-Fagus-grandifolia", "View")</f>
        <v>View</v>
      </c>
      <c r="J45" t="s">
        <v>25</v>
      </c>
      <c r="K45" t="s">
        <v>26</v>
      </c>
      <c r="L45">
        <v>49202</v>
      </c>
      <c r="M45">
        <v>36.44</v>
      </c>
      <c r="N45">
        <v>48.48</v>
      </c>
      <c r="P45">
        <v>0</v>
      </c>
      <c r="R45" t="s">
        <v>29</v>
      </c>
      <c r="S45" t="s">
        <v>24</v>
      </c>
      <c r="T45" t="s">
        <v>316</v>
      </c>
    </row>
    <row r="46" spans="1:20" x14ac:dyDescent="0.25">
      <c r="A46">
        <v>45</v>
      </c>
      <c r="B46" t="str">
        <f>HYPERLINK("https://imapinvasives.natureserve.org/imap/services/page/Presence/1442484.html", "View")</f>
        <v>View</v>
      </c>
      <c r="C46">
        <v>1442484</v>
      </c>
      <c r="D46">
        <v>1457059</v>
      </c>
      <c r="E46" t="str">
        <f>HYPERLINK("http://imap3images.s3-website-us-east-1.amazonaws.com/1457059/p/DSC01326.JPG", "View")</f>
        <v>View</v>
      </c>
      <c r="F46" t="s">
        <v>19</v>
      </c>
      <c r="G46" t="s">
        <v>20</v>
      </c>
      <c r="H46">
        <v>1103716</v>
      </c>
      <c r="I46" t="str">
        <f>HYPERLINK("https://www.inaturalist.org/taxa/49202-Fagus-grandifolia", "View")</f>
        <v>View</v>
      </c>
      <c r="J46" t="s">
        <v>25</v>
      </c>
      <c r="K46" t="s">
        <v>26</v>
      </c>
      <c r="L46">
        <v>49202</v>
      </c>
      <c r="M46">
        <v>33.85</v>
      </c>
      <c r="N46">
        <v>38.29</v>
      </c>
      <c r="P46">
        <v>0</v>
      </c>
      <c r="R46" t="s">
        <v>40</v>
      </c>
      <c r="S46" t="s">
        <v>33</v>
      </c>
      <c r="T46" t="s">
        <v>317</v>
      </c>
    </row>
    <row r="47" spans="1:20" x14ac:dyDescent="0.25">
      <c r="A47">
        <v>46</v>
      </c>
      <c r="B47" t="str">
        <f>HYPERLINK("https://imapinvasives.natureserve.org/imap/services/page/Presence/1409180.html", "View")</f>
        <v>View</v>
      </c>
      <c r="C47">
        <v>1409180</v>
      </c>
      <c r="D47">
        <v>1421583</v>
      </c>
      <c r="E47" t="str">
        <f>HYPERLINK("http://imap3images.s3-website-us-east-1.amazonaws.com/1421583/p/image0.jpeg", "View")</f>
        <v>View</v>
      </c>
      <c r="F47" t="s">
        <v>19</v>
      </c>
      <c r="G47" t="s">
        <v>20</v>
      </c>
      <c r="H47">
        <v>1103716</v>
      </c>
      <c r="I47" t="str">
        <f>HYPERLINK("https://www.inaturalist.org/taxa/1103716-Litylenchus-crenatae", "View")</f>
        <v>View</v>
      </c>
      <c r="J47" t="s">
        <v>21</v>
      </c>
      <c r="K47" t="s">
        <v>22</v>
      </c>
      <c r="L47">
        <v>1103716</v>
      </c>
      <c r="M47">
        <v>3.81</v>
      </c>
      <c r="N47">
        <v>80.930000000000007</v>
      </c>
      <c r="P47">
        <v>1</v>
      </c>
      <c r="R47" t="s">
        <v>23</v>
      </c>
      <c r="S47" t="s">
        <v>24</v>
      </c>
      <c r="T47" t="s">
        <v>316</v>
      </c>
    </row>
    <row r="48" spans="1:20" x14ac:dyDescent="0.25">
      <c r="A48">
        <v>47</v>
      </c>
      <c r="B48" t="str">
        <f>HYPERLINK("https://imapinvasives.natureserve.org/imap/services/page/Presence/1438601.html", "View")</f>
        <v>View</v>
      </c>
      <c r="C48">
        <v>1438601</v>
      </c>
      <c r="D48">
        <v>1452859</v>
      </c>
      <c r="E48" t="str">
        <f>HYPERLINK("http://imap3images.s3-website-us-east-1.amazonaws.com/1452859/p/20240727_141245.jpg", "View")</f>
        <v>View</v>
      </c>
      <c r="F48" t="s">
        <v>19</v>
      </c>
      <c r="G48" t="s">
        <v>20</v>
      </c>
      <c r="H48">
        <v>1103716</v>
      </c>
      <c r="I48" t="str">
        <f>HYPERLINK("https://www.inaturalist.org/taxa/1103716-Litylenchus-crenatae", "View")</f>
        <v>View</v>
      </c>
      <c r="J48" t="s">
        <v>21</v>
      </c>
      <c r="K48" t="s">
        <v>22</v>
      </c>
      <c r="L48">
        <v>1103716</v>
      </c>
      <c r="M48">
        <v>5.59</v>
      </c>
      <c r="N48">
        <v>89.05</v>
      </c>
      <c r="P48">
        <v>1</v>
      </c>
      <c r="R48" t="s">
        <v>23</v>
      </c>
      <c r="S48" t="s">
        <v>24</v>
      </c>
      <c r="T48" t="s">
        <v>316</v>
      </c>
    </row>
    <row r="49" spans="1:20" x14ac:dyDescent="0.25">
      <c r="A49">
        <v>48</v>
      </c>
      <c r="B49" t="str">
        <f>HYPERLINK("https://imapinvasives.natureserve.org/imap/services/page/Presence/1434371.html", "View")</f>
        <v>View</v>
      </c>
      <c r="C49">
        <v>1434371</v>
      </c>
      <c r="D49">
        <v>1448031</v>
      </c>
      <c r="E49" t="str">
        <f>HYPERLINK("http://imap3images.s3-website-us-east-1.amazonaws.com/1448031/p/imap_app_photo_1720807690983.jpg", "View")</f>
        <v>View</v>
      </c>
      <c r="F49" t="s">
        <v>19</v>
      </c>
      <c r="G49" t="s">
        <v>20</v>
      </c>
      <c r="H49">
        <v>1103716</v>
      </c>
      <c r="I49" t="str">
        <f>HYPERLINK("https://www.inaturalist.org/taxa/1103716-Litylenchus-crenatae", "View")</f>
        <v>View</v>
      </c>
      <c r="J49" t="s">
        <v>21</v>
      </c>
      <c r="K49" t="s">
        <v>22</v>
      </c>
      <c r="L49">
        <v>1103716</v>
      </c>
      <c r="M49">
        <v>5.94</v>
      </c>
      <c r="N49">
        <v>72.94</v>
      </c>
      <c r="P49">
        <v>1</v>
      </c>
      <c r="R49" t="s">
        <v>23</v>
      </c>
      <c r="S49" t="s">
        <v>24</v>
      </c>
      <c r="T49" t="s">
        <v>316</v>
      </c>
    </row>
    <row r="50" spans="1:20" x14ac:dyDescent="0.25">
      <c r="A50">
        <v>49</v>
      </c>
      <c r="B50" t="str">
        <f>HYPERLINK("https://imapinvasives.natureserve.org/imap/services/page/Presence/1438034.html", "View")</f>
        <v>View</v>
      </c>
      <c r="C50">
        <v>1438034</v>
      </c>
      <c r="D50">
        <v>1452276</v>
      </c>
      <c r="E50" t="str">
        <f>HYPERLINK("http://imap3images.s3-website-us-east-1.amazonaws.com/1452276/p/IMG_6363.JPG", "View")</f>
        <v>View</v>
      </c>
      <c r="F50" t="s">
        <v>19</v>
      </c>
      <c r="G50" t="s">
        <v>20</v>
      </c>
      <c r="H50">
        <v>1103716</v>
      </c>
      <c r="I50" t="str">
        <f>HYPERLINK("https://www.inaturalist.org/taxa/1103716-Litylenchus-crenatae", "View")</f>
        <v>View</v>
      </c>
      <c r="J50" t="s">
        <v>21</v>
      </c>
      <c r="K50" t="s">
        <v>22</v>
      </c>
      <c r="L50">
        <v>1103716</v>
      </c>
      <c r="M50">
        <v>6.71</v>
      </c>
      <c r="N50">
        <v>94.65</v>
      </c>
      <c r="P50">
        <v>1</v>
      </c>
      <c r="R50" t="s">
        <v>23</v>
      </c>
      <c r="S50" t="s">
        <v>24</v>
      </c>
      <c r="T50" t="s">
        <v>316</v>
      </c>
    </row>
    <row r="51" spans="1:20" x14ac:dyDescent="0.25">
      <c r="A51">
        <v>50</v>
      </c>
      <c r="B51" t="str">
        <f>HYPERLINK("https://imapinvasives.natureserve.org/imap/services/page/Presence/1355626.html", "View")</f>
        <v>View</v>
      </c>
      <c r="C51">
        <v>1355626</v>
      </c>
      <c r="D51">
        <v>1373259</v>
      </c>
      <c r="E51" t="str">
        <f>HYPERLINK("http://imap3images.s3-website-us-east-1.amazonaws.com/1373259/p/imap_app_photo_1696554342716.jpg", "View")</f>
        <v>View</v>
      </c>
      <c r="F51" t="s">
        <v>19</v>
      </c>
      <c r="G51" t="s">
        <v>20</v>
      </c>
      <c r="H51">
        <v>1103716</v>
      </c>
      <c r="I51" t="str">
        <f>HYPERLINK("https://www.inaturalist.org/taxa/1103716-Litylenchus-crenatae", "View")</f>
        <v>View</v>
      </c>
      <c r="J51" t="s">
        <v>21</v>
      </c>
      <c r="K51" t="s">
        <v>22</v>
      </c>
      <c r="L51">
        <v>1103716</v>
      </c>
      <c r="M51">
        <v>37.090000000000003</v>
      </c>
      <c r="N51">
        <v>97.74</v>
      </c>
      <c r="P51">
        <v>1</v>
      </c>
      <c r="R51" t="s">
        <v>23</v>
      </c>
      <c r="S51" t="s">
        <v>24</v>
      </c>
      <c r="T51" t="s">
        <v>316</v>
      </c>
    </row>
    <row r="52" spans="1:20" x14ac:dyDescent="0.25">
      <c r="A52">
        <v>51</v>
      </c>
      <c r="B52" t="str">
        <f>HYPERLINK("https://imapinvasives.natureserve.org/imap/services/page/Presence/1275384.html", "View")</f>
        <v>View</v>
      </c>
      <c r="C52">
        <v>1275384</v>
      </c>
      <c r="D52">
        <v>1284725</v>
      </c>
      <c r="E52" t="str">
        <f>HYPERLINK("http://imap3images.s3-website-us-east-1.amazonaws.com/1284725/p/imap_app_photo_1655573260929.jpg", "View")</f>
        <v>View</v>
      </c>
      <c r="F52" t="s">
        <v>19</v>
      </c>
      <c r="G52" t="s">
        <v>20</v>
      </c>
      <c r="H52">
        <v>1103716</v>
      </c>
      <c r="I52" t="str">
        <f>HYPERLINK("https://www.inaturalist.org/taxa/54768-Carpinus-caroliniana", "View")</f>
        <v>View</v>
      </c>
      <c r="J52" t="s">
        <v>41</v>
      </c>
      <c r="K52" t="s">
        <v>42</v>
      </c>
      <c r="L52">
        <v>54768</v>
      </c>
      <c r="M52">
        <v>42.18</v>
      </c>
      <c r="N52">
        <v>43.3</v>
      </c>
      <c r="P52">
        <v>0</v>
      </c>
      <c r="R52" t="s">
        <v>29</v>
      </c>
      <c r="S52" t="s">
        <v>33</v>
      </c>
      <c r="T52" t="s">
        <v>317</v>
      </c>
    </row>
    <row r="53" spans="1:20" x14ac:dyDescent="0.25">
      <c r="A53">
        <v>52</v>
      </c>
      <c r="B53" t="str">
        <f>HYPERLINK("https://imapinvasives.natureserve.org/imap/services/page/Presence/1341188.html", "View")</f>
        <v>View</v>
      </c>
      <c r="C53">
        <v>1341188</v>
      </c>
      <c r="D53">
        <v>1356407</v>
      </c>
      <c r="E53" t="str">
        <f>HYPERLINK("http://imap3images.s3-website-us-east-1.amazonaws.com/1356407/p/imap_app_photo_1689794547429.jpg", "View")</f>
        <v>View</v>
      </c>
      <c r="F53" t="s">
        <v>19</v>
      </c>
      <c r="G53" t="s">
        <v>20</v>
      </c>
      <c r="H53">
        <v>1103716</v>
      </c>
      <c r="I53" t="str">
        <f t="shared" ref="I53:I67" si="1">HYPERLINK("https://www.inaturalist.org/taxa/1103716-Litylenchus-crenatae", "View")</f>
        <v>View</v>
      </c>
      <c r="J53" t="s">
        <v>21</v>
      </c>
      <c r="K53" t="s">
        <v>22</v>
      </c>
      <c r="L53">
        <v>1103716</v>
      </c>
      <c r="M53">
        <v>7</v>
      </c>
      <c r="N53">
        <v>93.98</v>
      </c>
      <c r="P53">
        <v>1</v>
      </c>
      <c r="R53" t="s">
        <v>23</v>
      </c>
      <c r="S53" t="s">
        <v>24</v>
      </c>
      <c r="T53" t="s">
        <v>316</v>
      </c>
    </row>
    <row r="54" spans="1:20" x14ac:dyDescent="0.25">
      <c r="A54">
        <v>53</v>
      </c>
      <c r="B54" t="str">
        <f>HYPERLINK("https://imapinvasives.natureserve.org/imap/services/page/Presence/1341187.html", "View")</f>
        <v>View</v>
      </c>
      <c r="C54">
        <v>1341187</v>
      </c>
      <c r="D54">
        <v>1356406</v>
      </c>
      <c r="E54" t="str">
        <f>HYPERLINK("http://imap3images.s3-website-us-east-1.amazonaws.com/1356406/p/imap_app_photo_1689794540232.jpg", "View")</f>
        <v>View</v>
      </c>
      <c r="F54" t="s">
        <v>19</v>
      </c>
      <c r="G54" t="s">
        <v>20</v>
      </c>
      <c r="H54">
        <v>1103716</v>
      </c>
      <c r="I54" t="str">
        <f t="shared" si="1"/>
        <v>View</v>
      </c>
      <c r="J54" t="s">
        <v>21</v>
      </c>
      <c r="K54" t="s">
        <v>22</v>
      </c>
      <c r="L54">
        <v>1103716</v>
      </c>
      <c r="M54">
        <v>7</v>
      </c>
      <c r="N54">
        <v>96.69</v>
      </c>
      <c r="P54">
        <v>1</v>
      </c>
      <c r="R54" t="s">
        <v>23</v>
      </c>
      <c r="S54" t="s">
        <v>24</v>
      </c>
      <c r="T54" t="s">
        <v>316</v>
      </c>
    </row>
    <row r="55" spans="1:20" x14ac:dyDescent="0.25">
      <c r="A55">
        <v>54</v>
      </c>
      <c r="B55" t="str">
        <f>HYPERLINK("https://imapinvasives.natureserve.org/imap/services/page/Presence/1410474.html", "View")</f>
        <v>View</v>
      </c>
      <c r="C55">
        <v>1410474</v>
      </c>
      <c r="D55">
        <v>1422926</v>
      </c>
      <c r="E55" t="str">
        <f>HYPERLINK("http://imap3images.s3-website-us-east-1.amazonaws.com/1422926/p/imap_app_photo_1717683136391.jpg", "View")</f>
        <v>View</v>
      </c>
      <c r="F55" t="s">
        <v>19</v>
      </c>
      <c r="G55" t="s">
        <v>20</v>
      </c>
      <c r="H55">
        <v>1103716</v>
      </c>
      <c r="I55" t="str">
        <f t="shared" si="1"/>
        <v>View</v>
      </c>
      <c r="J55" t="s">
        <v>21</v>
      </c>
      <c r="K55" t="s">
        <v>22</v>
      </c>
      <c r="L55">
        <v>1103716</v>
      </c>
      <c r="M55">
        <v>2.96</v>
      </c>
      <c r="N55">
        <v>62.79</v>
      </c>
      <c r="P55">
        <v>1</v>
      </c>
      <c r="R55" t="s">
        <v>23</v>
      </c>
      <c r="S55" t="s">
        <v>24</v>
      </c>
      <c r="T55" t="s">
        <v>316</v>
      </c>
    </row>
    <row r="56" spans="1:20" x14ac:dyDescent="0.25">
      <c r="A56">
        <v>55</v>
      </c>
      <c r="B56" t="str">
        <f>HYPERLINK("https://imapinvasives.natureserve.org/imap/services/page/Presence/1438890.html", "View")</f>
        <v>View</v>
      </c>
      <c r="C56">
        <v>1438890</v>
      </c>
      <c r="D56">
        <v>1453210</v>
      </c>
      <c r="E56" t="str">
        <f>HYPERLINK("http://imap3images.s3-website-us-east-1.amazonaws.com/1453210/p/imap_app_photo_1722984268132.jpg", "View")</f>
        <v>View</v>
      </c>
      <c r="F56" t="s">
        <v>19</v>
      </c>
      <c r="G56" t="s">
        <v>20</v>
      </c>
      <c r="H56">
        <v>1103716</v>
      </c>
      <c r="I56" t="str">
        <f t="shared" si="1"/>
        <v>View</v>
      </c>
      <c r="J56" t="s">
        <v>21</v>
      </c>
      <c r="K56" t="s">
        <v>22</v>
      </c>
      <c r="L56">
        <v>1103716</v>
      </c>
      <c r="M56">
        <v>4.7300000000000004</v>
      </c>
      <c r="N56">
        <v>61.53</v>
      </c>
      <c r="P56">
        <v>1</v>
      </c>
      <c r="R56" t="s">
        <v>23</v>
      </c>
      <c r="S56" t="s">
        <v>24</v>
      </c>
      <c r="T56" t="s">
        <v>316</v>
      </c>
    </row>
    <row r="57" spans="1:20" x14ac:dyDescent="0.25">
      <c r="A57">
        <v>56</v>
      </c>
      <c r="B57" t="str">
        <f>HYPERLINK("https://imapinvasives.natureserve.org/imap/services/page/Presence/1417231.html", "View")</f>
        <v>View</v>
      </c>
      <c r="C57">
        <v>1417231</v>
      </c>
      <c r="D57">
        <v>1430879</v>
      </c>
      <c r="E57" t="str">
        <f>HYPERLINK("http://imap3images.s3-website-us-east-1.amazonaws.com/1430879/p/imap_app_photo_1720624227969.jpg", "View")</f>
        <v>View</v>
      </c>
      <c r="F57" t="s">
        <v>19</v>
      </c>
      <c r="G57" t="s">
        <v>20</v>
      </c>
      <c r="H57">
        <v>1103716</v>
      </c>
      <c r="I57" t="str">
        <f t="shared" si="1"/>
        <v>View</v>
      </c>
      <c r="J57" t="s">
        <v>21</v>
      </c>
      <c r="K57" t="s">
        <v>22</v>
      </c>
      <c r="L57">
        <v>1103716</v>
      </c>
      <c r="M57">
        <v>5.3</v>
      </c>
      <c r="N57">
        <v>94.64</v>
      </c>
      <c r="P57">
        <v>1</v>
      </c>
      <c r="R57" t="s">
        <v>23</v>
      </c>
      <c r="S57" t="s">
        <v>24</v>
      </c>
      <c r="T57" t="s">
        <v>316</v>
      </c>
    </row>
    <row r="58" spans="1:20" x14ac:dyDescent="0.25">
      <c r="A58">
        <v>57</v>
      </c>
      <c r="B58" t="str">
        <f>HYPERLINK("https://imapinvasives.natureserve.org/imap/services/page/Presence/1335860.html", "View")</f>
        <v>View</v>
      </c>
      <c r="C58">
        <v>1335860</v>
      </c>
      <c r="D58">
        <v>1350204</v>
      </c>
      <c r="E58" t="str">
        <f>HYPERLINK("http://imap3images.s3-website-us-east-1.amazonaws.com/1350204/p/imap_app_photo_1687305033744.jpg", "View")</f>
        <v>View</v>
      </c>
      <c r="F58" t="s">
        <v>19</v>
      </c>
      <c r="G58" t="s">
        <v>20</v>
      </c>
      <c r="H58">
        <v>1103716</v>
      </c>
      <c r="I58" t="str">
        <f t="shared" si="1"/>
        <v>View</v>
      </c>
      <c r="J58" t="s">
        <v>21</v>
      </c>
      <c r="K58" t="s">
        <v>22</v>
      </c>
      <c r="L58">
        <v>1103716</v>
      </c>
      <c r="M58">
        <v>37.090000000000003</v>
      </c>
      <c r="N58">
        <v>93.43</v>
      </c>
      <c r="P58">
        <v>1</v>
      </c>
      <c r="R58" t="s">
        <v>23</v>
      </c>
      <c r="S58" t="s">
        <v>24</v>
      </c>
      <c r="T58" t="s">
        <v>316</v>
      </c>
    </row>
    <row r="59" spans="1:20" x14ac:dyDescent="0.25">
      <c r="A59">
        <v>58</v>
      </c>
      <c r="B59" t="str">
        <f>HYPERLINK("https://imapinvasives.natureserve.org/imap/services/page/Presence/1279495.html", "View")</f>
        <v>View</v>
      </c>
      <c r="C59">
        <v>1279495</v>
      </c>
      <c r="D59">
        <v>1288858</v>
      </c>
      <c r="E59" t="str">
        <f>HYPERLINK("http://imap3images.s3-website-us-east-1.amazonaws.com/1288858/p/imap_app_photo_1656029183900.jpg", "View")</f>
        <v>View</v>
      </c>
      <c r="F59" t="s">
        <v>19</v>
      </c>
      <c r="G59" t="s">
        <v>20</v>
      </c>
      <c r="H59">
        <v>1103716</v>
      </c>
      <c r="I59" t="str">
        <f t="shared" si="1"/>
        <v>View</v>
      </c>
      <c r="J59" t="s">
        <v>21</v>
      </c>
      <c r="K59" t="s">
        <v>22</v>
      </c>
      <c r="L59">
        <v>1103716</v>
      </c>
      <c r="M59">
        <v>37.090000000000003</v>
      </c>
      <c r="N59">
        <v>43.35</v>
      </c>
      <c r="P59">
        <v>1</v>
      </c>
      <c r="R59" t="s">
        <v>23</v>
      </c>
      <c r="S59" t="s">
        <v>24</v>
      </c>
      <c r="T59" t="s">
        <v>316</v>
      </c>
    </row>
    <row r="60" spans="1:20" x14ac:dyDescent="0.25">
      <c r="A60">
        <v>59</v>
      </c>
      <c r="B60" t="str">
        <f>HYPERLINK("https://imapinvasives.natureserve.org/imap/services/page/Presence/1350500.html", "View")</f>
        <v>View</v>
      </c>
      <c r="C60">
        <v>1350500</v>
      </c>
      <c r="D60">
        <v>1367471</v>
      </c>
      <c r="E60" t="str">
        <f>HYPERLINK("http://imap3images.s3-website-us-east-1.amazonaws.com/1367471/p/imap_app_photo_1693248518999.jpg", "View")</f>
        <v>View</v>
      </c>
      <c r="F60" t="s">
        <v>19</v>
      </c>
      <c r="G60" t="s">
        <v>20</v>
      </c>
      <c r="H60">
        <v>1103716</v>
      </c>
      <c r="I60" t="str">
        <f t="shared" si="1"/>
        <v>View</v>
      </c>
      <c r="J60" t="s">
        <v>21</v>
      </c>
      <c r="K60" t="s">
        <v>22</v>
      </c>
      <c r="L60">
        <v>1103716</v>
      </c>
      <c r="M60">
        <v>45.38</v>
      </c>
      <c r="N60">
        <v>33.69</v>
      </c>
      <c r="P60">
        <v>1</v>
      </c>
      <c r="R60" t="s">
        <v>23</v>
      </c>
      <c r="S60" t="s">
        <v>24</v>
      </c>
      <c r="T60" t="s">
        <v>316</v>
      </c>
    </row>
    <row r="61" spans="1:20" x14ac:dyDescent="0.25">
      <c r="A61">
        <v>60</v>
      </c>
      <c r="B61" t="str">
        <f>HYPERLINK("https://imapinvasives.natureserve.org/imap/services/page/Presence/1409207.html", "View")</f>
        <v>View</v>
      </c>
      <c r="C61">
        <v>1409207</v>
      </c>
      <c r="D61">
        <v>1421610</v>
      </c>
      <c r="E61" t="str">
        <f>HYPERLINK("http://imap3images.s3-website-us-east-1.amazonaws.com/1421610/p/imap_app_photo_1716912166417.jpg", "View")</f>
        <v>View</v>
      </c>
      <c r="F61" t="s">
        <v>19</v>
      </c>
      <c r="G61" t="s">
        <v>20</v>
      </c>
      <c r="H61">
        <v>1103716</v>
      </c>
      <c r="I61" t="str">
        <f t="shared" si="1"/>
        <v>View</v>
      </c>
      <c r="J61" t="s">
        <v>21</v>
      </c>
      <c r="K61" t="s">
        <v>22</v>
      </c>
      <c r="L61">
        <v>1103716</v>
      </c>
      <c r="M61">
        <v>11.44</v>
      </c>
      <c r="N61">
        <v>79.86</v>
      </c>
      <c r="P61">
        <v>1</v>
      </c>
      <c r="R61" t="s">
        <v>23</v>
      </c>
      <c r="S61" t="s">
        <v>24</v>
      </c>
      <c r="T61" t="s">
        <v>316</v>
      </c>
    </row>
    <row r="62" spans="1:20" x14ac:dyDescent="0.25">
      <c r="A62">
        <v>61</v>
      </c>
      <c r="B62" t="str">
        <f>HYPERLINK("https://imapinvasives.natureserve.org/imap/services/page/Presence/1441517.html", "View")</f>
        <v>View</v>
      </c>
      <c r="C62">
        <v>1441517</v>
      </c>
      <c r="D62">
        <v>1455976</v>
      </c>
      <c r="E62" t="str">
        <f>HYPERLINK("http://imap3images.s3-website-us-east-1.amazonaws.com/1455976/p/imap_app_photo_1724180629326.jpg", "View")</f>
        <v>View</v>
      </c>
      <c r="F62" t="s">
        <v>19</v>
      </c>
      <c r="G62" t="s">
        <v>20</v>
      </c>
      <c r="H62">
        <v>1103716</v>
      </c>
      <c r="I62" t="str">
        <f t="shared" si="1"/>
        <v>View</v>
      </c>
      <c r="J62" t="s">
        <v>21</v>
      </c>
      <c r="K62" t="s">
        <v>22</v>
      </c>
      <c r="L62">
        <v>1103716</v>
      </c>
      <c r="M62">
        <v>24.94</v>
      </c>
      <c r="N62">
        <v>58.64</v>
      </c>
      <c r="P62">
        <v>1</v>
      </c>
      <c r="R62" t="s">
        <v>23</v>
      </c>
      <c r="S62" t="s">
        <v>24</v>
      </c>
      <c r="T62" t="s">
        <v>316</v>
      </c>
    </row>
    <row r="63" spans="1:20" x14ac:dyDescent="0.25">
      <c r="A63">
        <v>62</v>
      </c>
      <c r="B63" t="str">
        <f>HYPERLINK("https://imapinvasives.natureserve.org/imap/services/page/Presence/1434852.html", "View")</f>
        <v>View</v>
      </c>
      <c r="C63">
        <v>1434852</v>
      </c>
      <c r="D63">
        <v>1448542</v>
      </c>
      <c r="E63" t="str">
        <f>HYPERLINK("http://imap3images.s3-website-us-east-1.amazonaws.com/1448542/p/bld.jpeg", "View")</f>
        <v>View</v>
      </c>
      <c r="F63" t="s">
        <v>19</v>
      </c>
      <c r="G63" t="s">
        <v>20</v>
      </c>
      <c r="H63">
        <v>1103716</v>
      </c>
      <c r="I63" t="str">
        <f t="shared" si="1"/>
        <v>View</v>
      </c>
      <c r="J63" t="s">
        <v>21</v>
      </c>
      <c r="K63" t="s">
        <v>22</v>
      </c>
      <c r="L63">
        <v>1103716</v>
      </c>
      <c r="M63">
        <v>46.52</v>
      </c>
      <c r="N63">
        <v>98.24</v>
      </c>
      <c r="P63">
        <v>1</v>
      </c>
      <c r="R63" t="s">
        <v>23</v>
      </c>
      <c r="S63" t="s">
        <v>24</v>
      </c>
      <c r="T63" t="s">
        <v>316</v>
      </c>
    </row>
    <row r="64" spans="1:20" x14ac:dyDescent="0.25">
      <c r="A64">
        <v>63</v>
      </c>
      <c r="B64" t="str">
        <f>HYPERLINK("https://imapinvasives.natureserve.org/imap/services/page/Presence/1412131.html", "View")</f>
        <v>View</v>
      </c>
      <c r="C64">
        <v>1412131</v>
      </c>
      <c r="D64">
        <v>1424827</v>
      </c>
      <c r="E64" t="str">
        <f>HYPERLINK("http://imap3images.s3-website-us-east-1.amazonaws.com/1424827/p/imap_app_photo_1718812508769.jpg", "View")</f>
        <v>View</v>
      </c>
      <c r="F64" t="s">
        <v>19</v>
      </c>
      <c r="G64" t="s">
        <v>20</v>
      </c>
      <c r="H64">
        <v>1103716</v>
      </c>
      <c r="I64" t="str">
        <f t="shared" si="1"/>
        <v>View</v>
      </c>
      <c r="J64" t="s">
        <v>21</v>
      </c>
      <c r="K64" t="s">
        <v>22</v>
      </c>
      <c r="L64">
        <v>1103716</v>
      </c>
      <c r="M64">
        <v>37.090000000000003</v>
      </c>
      <c r="N64">
        <v>82.71</v>
      </c>
      <c r="P64">
        <v>1</v>
      </c>
      <c r="R64" t="s">
        <v>23</v>
      </c>
      <c r="S64" t="s">
        <v>24</v>
      </c>
      <c r="T64" t="s">
        <v>316</v>
      </c>
    </row>
    <row r="65" spans="1:20" x14ac:dyDescent="0.25">
      <c r="A65">
        <v>64</v>
      </c>
      <c r="B65" t="str">
        <f>HYPERLINK("https://imapinvasives.natureserve.org/imap/services/page/Presence/1412137.html", "View")</f>
        <v>View</v>
      </c>
      <c r="C65">
        <v>1412137</v>
      </c>
      <c r="D65">
        <v>1424833</v>
      </c>
      <c r="E65" t="str">
        <f>HYPERLINK("http://imap3images.s3-website-us-east-1.amazonaws.com/1424833/p/imap_app_photo_1718812609736.jpg", "View")</f>
        <v>View</v>
      </c>
      <c r="F65" t="s">
        <v>19</v>
      </c>
      <c r="G65" t="s">
        <v>20</v>
      </c>
      <c r="H65">
        <v>1103716</v>
      </c>
      <c r="I65" t="str">
        <f t="shared" si="1"/>
        <v>View</v>
      </c>
      <c r="J65" t="s">
        <v>21</v>
      </c>
      <c r="K65" t="s">
        <v>22</v>
      </c>
      <c r="L65">
        <v>1103716</v>
      </c>
      <c r="M65">
        <v>37.090000000000003</v>
      </c>
      <c r="N65">
        <v>44.08</v>
      </c>
      <c r="P65">
        <v>1</v>
      </c>
      <c r="R65" t="s">
        <v>23</v>
      </c>
      <c r="S65" t="s">
        <v>24</v>
      </c>
      <c r="T65" t="s">
        <v>316</v>
      </c>
    </row>
    <row r="66" spans="1:20" x14ac:dyDescent="0.25">
      <c r="A66">
        <v>65</v>
      </c>
      <c r="B66" t="str">
        <f>HYPERLINK("https://imapinvasives.natureserve.org/imap/services/page/Presence/1411304.html", "View")</f>
        <v>View</v>
      </c>
      <c r="C66">
        <v>1411304</v>
      </c>
      <c r="D66">
        <v>1423872</v>
      </c>
      <c r="E66" t="str">
        <f>HYPERLINK("http://imap3images.s3-website-us-east-1.amazonaws.com/1423872/p/imap_app_photo_1718225126375.jpg", "View")</f>
        <v>View</v>
      </c>
      <c r="F66" t="s">
        <v>19</v>
      </c>
      <c r="G66" t="s">
        <v>20</v>
      </c>
      <c r="H66">
        <v>1103716</v>
      </c>
      <c r="I66" t="str">
        <f t="shared" si="1"/>
        <v>View</v>
      </c>
      <c r="J66" t="s">
        <v>21</v>
      </c>
      <c r="K66" t="s">
        <v>22</v>
      </c>
      <c r="L66">
        <v>1103716</v>
      </c>
      <c r="M66">
        <v>4.6100000000000003</v>
      </c>
      <c r="N66">
        <v>89.76</v>
      </c>
      <c r="P66">
        <v>1</v>
      </c>
      <c r="R66" t="s">
        <v>23</v>
      </c>
      <c r="S66" t="s">
        <v>24</v>
      </c>
      <c r="T66" t="s">
        <v>316</v>
      </c>
    </row>
    <row r="67" spans="1:20" x14ac:dyDescent="0.25">
      <c r="A67">
        <v>66</v>
      </c>
      <c r="B67" t="str">
        <f>HYPERLINK("https://imapinvasives.natureserve.org/imap/services/page/Presence/1411311.html", "View")</f>
        <v>View</v>
      </c>
      <c r="C67">
        <v>1411311</v>
      </c>
      <c r="D67">
        <v>1423879</v>
      </c>
      <c r="E67" t="str">
        <f>HYPERLINK("http://imap3images.s3-website-us-east-1.amazonaws.com/1423879/p/imap_app_photo_1718225160028.jpg", "View")</f>
        <v>View</v>
      </c>
      <c r="F67" t="s">
        <v>19</v>
      </c>
      <c r="G67" t="s">
        <v>20</v>
      </c>
      <c r="H67">
        <v>1103716</v>
      </c>
      <c r="I67" t="str">
        <f t="shared" si="1"/>
        <v>View</v>
      </c>
      <c r="J67" t="s">
        <v>21</v>
      </c>
      <c r="K67" t="s">
        <v>22</v>
      </c>
      <c r="L67">
        <v>1103716</v>
      </c>
      <c r="M67">
        <v>4.6100000000000003</v>
      </c>
      <c r="N67">
        <v>87.38</v>
      </c>
      <c r="P67">
        <v>1</v>
      </c>
      <c r="R67" t="s">
        <v>23</v>
      </c>
      <c r="S67" t="s">
        <v>24</v>
      </c>
      <c r="T67" t="s">
        <v>316</v>
      </c>
    </row>
    <row r="68" spans="1:20" x14ac:dyDescent="0.25">
      <c r="A68">
        <v>67</v>
      </c>
      <c r="B68" t="str">
        <f>HYPERLINK("https://imapinvasives.natureserve.org/imap/services/page/Presence/1406995.html", "View")</f>
        <v>View</v>
      </c>
      <c r="C68">
        <v>1406995</v>
      </c>
      <c r="D68">
        <v>1419570</v>
      </c>
      <c r="E68" t="str">
        <f>HYPERLINK("http://imap3images.s3-website-us-east-1.amazonaws.com/1419570/p/imap_app_photo_1715614470157.jpg", "View")</f>
        <v>View</v>
      </c>
      <c r="F68" t="s">
        <v>19</v>
      </c>
      <c r="G68" t="s">
        <v>20</v>
      </c>
      <c r="H68">
        <v>1103716</v>
      </c>
      <c r="I68" t="str">
        <f>HYPERLINK("https://www.inaturalist.org/taxa/49202-Fagus-grandifolia", "View")</f>
        <v>View</v>
      </c>
      <c r="J68" t="s">
        <v>25</v>
      </c>
      <c r="K68" t="s">
        <v>26</v>
      </c>
      <c r="L68">
        <v>49202</v>
      </c>
      <c r="M68">
        <v>29</v>
      </c>
      <c r="N68">
        <v>68.930000000000007</v>
      </c>
      <c r="P68">
        <v>0</v>
      </c>
      <c r="R68" t="s">
        <v>29</v>
      </c>
      <c r="S68" t="s">
        <v>24</v>
      </c>
      <c r="T68" t="s">
        <v>316</v>
      </c>
    </row>
    <row r="69" spans="1:20" x14ac:dyDescent="0.25">
      <c r="A69">
        <v>68</v>
      </c>
      <c r="B69" t="str">
        <f>HYPERLINK("https://imapinvasives.natureserve.org/imap/services/page/Presence/1335493.html", "View")</f>
        <v>View</v>
      </c>
      <c r="C69">
        <v>1335493</v>
      </c>
      <c r="D69">
        <v>1349798</v>
      </c>
      <c r="E69" t="str">
        <f>HYPERLINK("http://imap3images.s3-website-us-east-1.amazonaws.com/1349798/p/Goundry_B-15_BLD_3.jpg", "View")</f>
        <v>View</v>
      </c>
      <c r="F69" t="s">
        <v>19</v>
      </c>
      <c r="G69" t="s">
        <v>20</v>
      </c>
      <c r="H69">
        <v>1103716</v>
      </c>
      <c r="I69" t="str">
        <f>HYPERLINK("https://www.inaturalist.org/taxa/1103716-Litylenchus-crenatae", "View")</f>
        <v>View</v>
      </c>
      <c r="J69" t="s">
        <v>21</v>
      </c>
      <c r="K69" t="s">
        <v>22</v>
      </c>
      <c r="L69">
        <v>1103716</v>
      </c>
      <c r="M69">
        <v>8.32</v>
      </c>
      <c r="N69">
        <v>99.45</v>
      </c>
      <c r="P69">
        <v>1</v>
      </c>
      <c r="R69" t="s">
        <v>23</v>
      </c>
      <c r="S69" t="s">
        <v>24</v>
      </c>
      <c r="T69" t="s">
        <v>316</v>
      </c>
    </row>
    <row r="70" spans="1:20" x14ac:dyDescent="0.25">
      <c r="A70">
        <v>69</v>
      </c>
      <c r="B70" t="str">
        <f>HYPERLINK("https://imapinvasives.natureserve.org/imap/services/page/Presence/1344210.html", "View")</f>
        <v>View</v>
      </c>
      <c r="C70">
        <v>1344210</v>
      </c>
      <c r="D70">
        <v>1359878</v>
      </c>
      <c r="E70" t="str">
        <f>HYPERLINK("http://imap3images.s3-website-us-east-1.amazonaws.com/1359878/p/Photo2-20230731-204232.jpg", "View")</f>
        <v>View</v>
      </c>
      <c r="F70" t="s">
        <v>19</v>
      </c>
      <c r="G70" t="s">
        <v>20</v>
      </c>
      <c r="H70">
        <v>1103716</v>
      </c>
      <c r="I70" t="str">
        <f>HYPERLINK("https://www.inaturalist.org/taxa/49202-Fagus-grandifolia", "View")</f>
        <v>View</v>
      </c>
      <c r="J70" t="s">
        <v>25</v>
      </c>
      <c r="K70" t="s">
        <v>26</v>
      </c>
      <c r="L70">
        <v>49202</v>
      </c>
      <c r="M70">
        <v>32.22</v>
      </c>
      <c r="N70">
        <v>91.52</v>
      </c>
      <c r="P70">
        <v>0</v>
      </c>
      <c r="R70" t="s">
        <v>29</v>
      </c>
      <c r="S70" t="s">
        <v>39</v>
      </c>
      <c r="T70" t="s">
        <v>317</v>
      </c>
    </row>
    <row r="71" spans="1:20" x14ac:dyDescent="0.25">
      <c r="A71">
        <v>70</v>
      </c>
      <c r="B71" t="str">
        <f>HYPERLINK("https://imapinvasives.natureserve.org/imap/services/page/Presence/1339360.html", "View")</f>
        <v>View</v>
      </c>
      <c r="C71">
        <v>1339360</v>
      </c>
      <c r="D71">
        <v>1354234</v>
      </c>
      <c r="E71" t="str">
        <f>HYPERLINK("http://imap3images.s3-website-us-east-1.amazonaws.com/1354234/p/Photo3-20230707-171251.jpg", "View")</f>
        <v>View</v>
      </c>
      <c r="F71" t="s">
        <v>19</v>
      </c>
      <c r="G71" t="s">
        <v>20</v>
      </c>
      <c r="H71">
        <v>1103716</v>
      </c>
      <c r="I71" t="str">
        <f>HYPERLINK("https://www.inaturalist.org/taxa/1103716-Litylenchus-crenatae", "View")</f>
        <v>View</v>
      </c>
      <c r="J71" t="s">
        <v>21</v>
      </c>
      <c r="K71" t="s">
        <v>22</v>
      </c>
      <c r="L71">
        <v>1103716</v>
      </c>
      <c r="M71">
        <v>9.1999999999999993</v>
      </c>
      <c r="N71">
        <v>35.21</v>
      </c>
      <c r="P71">
        <v>1</v>
      </c>
      <c r="R71" t="s">
        <v>23</v>
      </c>
      <c r="S71" t="s">
        <v>24</v>
      </c>
      <c r="T71" t="s">
        <v>316</v>
      </c>
    </row>
    <row r="72" spans="1:20" x14ac:dyDescent="0.25">
      <c r="A72">
        <v>71</v>
      </c>
      <c r="B72" t="str">
        <f>HYPERLINK("https://imapinvasives.natureserve.org/imap/services/page/Presence/1272745.html", "View")</f>
        <v>View</v>
      </c>
      <c r="C72">
        <v>1272745</v>
      </c>
      <c r="D72">
        <v>1281841</v>
      </c>
      <c r="E72" t="str">
        <f>HYPERLINK("http://imap3images.s3-website-us-east-1.amazonaws.com/1281841/p/20220524_193811.jpg", "View")</f>
        <v>View</v>
      </c>
      <c r="F72" t="s">
        <v>19</v>
      </c>
      <c r="G72" t="s">
        <v>20</v>
      </c>
      <c r="H72">
        <v>1103716</v>
      </c>
      <c r="I72" t="str">
        <f>HYPERLINK("https://www.inaturalist.org/taxa/1103716-Litylenchus-crenatae", "View")</f>
        <v>View</v>
      </c>
      <c r="J72" t="s">
        <v>21</v>
      </c>
      <c r="K72" t="s">
        <v>22</v>
      </c>
      <c r="L72">
        <v>1103716</v>
      </c>
      <c r="M72">
        <v>32.54</v>
      </c>
      <c r="N72">
        <v>61.51</v>
      </c>
      <c r="P72">
        <v>1</v>
      </c>
      <c r="R72" t="s">
        <v>23</v>
      </c>
      <c r="S72" t="s">
        <v>24</v>
      </c>
      <c r="T72" t="s">
        <v>316</v>
      </c>
    </row>
    <row r="73" spans="1:20" x14ac:dyDescent="0.25">
      <c r="A73">
        <v>72</v>
      </c>
      <c r="B73" t="str">
        <f>HYPERLINK("https://imapinvasives.natureserve.org/imap/services/page/Presence/1346370.html", "View")</f>
        <v>View</v>
      </c>
      <c r="C73">
        <v>1346370</v>
      </c>
      <c r="D73">
        <v>1362632</v>
      </c>
      <c r="E73" t="str">
        <f>HYPERLINK("http://imap3images.s3-website-us-east-1.amazonaws.com/1362632/p/imap_app_photo_1691693676203.jpg", "View")</f>
        <v>View</v>
      </c>
      <c r="F73" t="s">
        <v>19</v>
      </c>
      <c r="G73" t="s">
        <v>20</v>
      </c>
      <c r="H73">
        <v>1103716</v>
      </c>
      <c r="I73" t="str">
        <f>HYPERLINK("https://www.inaturalist.org/taxa/49202-Fagus-grandifolia", "View")</f>
        <v>View</v>
      </c>
      <c r="J73" t="s">
        <v>25</v>
      </c>
      <c r="K73" t="s">
        <v>26</v>
      </c>
      <c r="L73">
        <v>49202</v>
      </c>
      <c r="M73">
        <v>54.71</v>
      </c>
      <c r="N73">
        <v>67.63</v>
      </c>
      <c r="P73">
        <v>0</v>
      </c>
      <c r="R73" t="s">
        <v>29</v>
      </c>
      <c r="S73" t="s">
        <v>33</v>
      </c>
      <c r="T73" t="s">
        <v>317</v>
      </c>
    </row>
    <row r="74" spans="1:20" x14ac:dyDescent="0.25">
      <c r="A74">
        <v>73</v>
      </c>
      <c r="B74" t="str">
        <f>HYPERLINK("https://imapinvasives.natureserve.org/imap/services/page/Presence/1393912.html", "View")</f>
        <v>View</v>
      </c>
      <c r="C74">
        <v>1393912</v>
      </c>
      <c r="D74">
        <v>1412193</v>
      </c>
      <c r="E74" t="str">
        <f>HYPERLINK("http://imap3images.s3-website-us-east-1.amazonaws.com/1412193/p/imap_app_photo_1713384121576.jpg", "View")</f>
        <v>View</v>
      </c>
      <c r="F74" t="s">
        <v>19</v>
      </c>
      <c r="G74" t="s">
        <v>20</v>
      </c>
      <c r="H74">
        <v>1103716</v>
      </c>
      <c r="I74" t="str">
        <f>HYPERLINK("https://www.inaturalist.org/taxa/1103716-Litylenchus-crenatae", "View")</f>
        <v>View</v>
      </c>
      <c r="J74" t="s">
        <v>21</v>
      </c>
      <c r="K74" t="s">
        <v>22</v>
      </c>
      <c r="L74">
        <v>1103716</v>
      </c>
      <c r="M74">
        <v>19.309999999999999</v>
      </c>
      <c r="N74">
        <v>68.760000000000005</v>
      </c>
      <c r="P74">
        <v>1</v>
      </c>
      <c r="R74" t="s">
        <v>23</v>
      </c>
      <c r="S74" t="s">
        <v>24</v>
      </c>
      <c r="T74" t="s">
        <v>316</v>
      </c>
    </row>
    <row r="75" spans="1:20" x14ac:dyDescent="0.25">
      <c r="A75">
        <v>74</v>
      </c>
      <c r="B75" t="str">
        <f>HYPERLINK("https://imapinvasives.natureserve.org/imap/services/page/Presence/1330817.html", "View")</f>
        <v>View</v>
      </c>
      <c r="C75">
        <v>1330817</v>
      </c>
      <c r="D75">
        <v>1344293</v>
      </c>
      <c r="E75" t="str">
        <f>HYPERLINK("http://imap3images.s3-website-us-east-1.amazonaws.com/1344293/p/HPIM0844.JPG", "View")</f>
        <v>View</v>
      </c>
      <c r="F75" t="s">
        <v>19</v>
      </c>
      <c r="G75" t="s">
        <v>20</v>
      </c>
      <c r="H75">
        <v>1103716</v>
      </c>
      <c r="I75" t="str">
        <f>HYPERLINK("https://www.inaturalist.org/taxa/1103716-Litylenchus-crenatae", "View")</f>
        <v>View</v>
      </c>
      <c r="J75" t="s">
        <v>21</v>
      </c>
      <c r="K75" t="s">
        <v>22</v>
      </c>
      <c r="L75">
        <v>1103716</v>
      </c>
      <c r="M75">
        <v>19.309999999999999</v>
      </c>
      <c r="N75">
        <v>97.51</v>
      </c>
      <c r="P75">
        <v>1</v>
      </c>
      <c r="R75" t="s">
        <v>23</v>
      </c>
      <c r="S75" t="s">
        <v>24</v>
      </c>
      <c r="T75" t="s">
        <v>316</v>
      </c>
    </row>
    <row r="76" spans="1:20" x14ac:dyDescent="0.25">
      <c r="A76">
        <v>75</v>
      </c>
      <c r="B76" t="str">
        <f>HYPERLINK("https://imapinvasives.natureserve.org/imap/services/page/Presence/1344313.html", "View")</f>
        <v>View</v>
      </c>
      <c r="C76">
        <v>1344313</v>
      </c>
      <c r="D76">
        <v>1360059</v>
      </c>
      <c r="E76" t="str">
        <f>HYPERLINK("http://imap3images.s3-website-us-east-1.amazonaws.com/1360059/p/20230801_BLD_Jenksville.jpg", "View")</f>
        <v>View</v>
      </c>
      <c r="F76" t="s">
        <v>19</v>
      </c>
      <c r="G76" t="s">
        <v>20</v>
      </c>
      <c r="H76">
        <v>1103716</v>
      </c>
      <c r="I76" t="str">
        <f>HYPERLINK("https://www.inaturalist.org/taxa/49202-Fagus-grandifolia", "View")</f>
        <v>View</v>
      </c>
      <c r="J76" t="s">
        <v>25</v>
      </c>
      <c r="K76" t="s">
        <v>26</v>
      </c>
      <c r="L76">
        <v>49202</v>
      </c>
      <c r="M76">
        <v>30.71</v>
      </c>
      <c r="N76">
        <v>57.61</v>
      </c>
      <c r="P76">
        <v>0</v>
      </c>
      <c r="R76" t="s">
        <v>29</v>
      </c>
      <c r="S76" t="s">
        <v>33</v>
      </c>
      <c r="T76" t="s">
        <v>317</v>
      </c>
    </row>
    <row r="77" spans="1:20" x14ac:dyDescent="0.25">
      <c r="A77">
        <v>76</v>
      </c>
      <c r="B77" t="str">
        <f>HYPERLINK("https://imapinvasives.natureserve.org/imap/services/page/Presence/1435976.html", "View")</f>
        <v>View</v>
      </c>
      <c r="C77">
        <v>1435976</v>
      </c>
      <c r="D77">
        <v>1449747</v>
      </c>
      <c r="E77" t="str">
        <f>HYPERLINK("http://imap3images.s3-website-us-east-1.amazonaws.com/1449747/p/imap_app_photo_1721765171655.jpg", "View")</f>
        <v>View</v>
      </c>
      <c r="F77" t="s">
        <v>19</v>
      </c>
      <c r="G77" t="s">
        <v>20</v>
      </c>
      <c r="H77">
        <v>1103716</v>
      </c>
      <c r="I77" t="str">
        <f>HYPERLINK("https://www.inaturalist.org/taxa/1103716-Litylenchus-crenatae", "View")</f>
        <v>View</v>
      </c>
      <c r="J77" t="s">
        <v>21</v>
      </c>
      <c r="K77" t="s">
        <v>22</v>
      </c>
      <c r="L77">
        <v>1103716</v>
      </c>
      <c r="M77">
        <v>9.1300000000000008</v>
      </c>
      <c r="N77">
        <v>74.67</v>
      </c>
      <c r="P77">
        <v>1</v>
      </c>
      <c r="R77" t="s">
        <v>23</v>
      </c>
      <c r="S77" t="s">
        <v>24</v>
      </c>
      <c r="T77" t="s">
        <v>316</v>
      </c>
    </row>
    <row r="78" spans="1:20" x14ac:dyDescent="0.25">
      <c r="A78">
        <v>77</v>
      </c>
      <c r="B78" t="str">
        <f>HYPERLINK("https://imapinvasives.natureserve.org/imap/services/page/Presence/1412512.html", "View")</f>
        <v>View</v>
      </c>
      <c r="C78">
        <v>1412512</v>
      </c>
      <c r="D78">
        <v>1425235</v>
      </c>
      <c r="E78" t="str">
        <f>HYPERLINK("http://imap3images.s3-website-us-east-1.amazonaws.com/1425235/p/Beech_leaf_disease_on_Wilson_Trail_south_5-24-2024_IMG_0761.jpg", "View")</f>
        <v>View</v>
      </c>
      <c r="F78" t="s">
        <v>19</v>
      </c>
      <c r="G78" t="s">
        <v>20</v>
      </c>
      <c r="H78">
        <v>1103716</v>
      </c>
      <c r="I78" t="str">
        <f>HYPERLINK("https://www.inaturalist.org/taxa/1103716-Litylenchus-crenatae", "View")</f>
        <v>View</v>
      </c>
      <c r="J78" t="s">
        <v>21</v>
      </c>
      <c r="K78" t="s">
        <v>22</v>
      </c>
      <c r="L78">
        <v>1103716</v>
      </c>
      <c r="M78">
        <v>7.27</v>
      </c>
      <c r="N78">
        <v>73.040000000000006</v>
      </c>
      <c r="P78">
        <v>1</v>
      </c>
      <c r="R78" t="s">
        <v>23</v>
      </c>
      <c r="S78" t="s">
        <v>24</v>
      </c>
      <c r="T78" t="s">
        <v>316</v>
      </c>
    </row>
    <row r="79" spans="1:20" x14ac:dyDescent="0.25">
      <c r="A79">
        <v>78</v>
      </c>
      <c r="B79" t="str">
        <f>HYPERLINK("https://imapinvasives.natureserve.org/imap/services/page/Presence/1273602.html", "View")</f>
        <v>View</v>
      </c>
      <c r="C79">
        <v>1273602</v>
      </c>
      <c r="D79">
        <v>1282792</v>
      </c>
      <c r="E79" t="str">
        <f>HYPERLINK("http://imap3images.s3-website-us-east-1.amazonaws.com/1282792/p/imap_app_photo_1654361544576.jpg", "View")</f>
        <v>View</v>
      </c>
      <c r="F79" t="s">
        <v>19</v>
      </c>
      <c r="G79" t="s">
        <v>20</v>
      </c>
      <c r="H79">
        <v>1103716</v>
      </c>
      <c r="I79" t="str">
        <f>HYPERLINK("https://www.inaturalist.org/taxa/1103716-Litylenchus-crenatae", "View")</f>
        <v>View</v>
      </c>
      <c r="J79" t="s">
        <v>21</v>
      </c>
      <c r="K79" t="s">
        <v>22</v>
      </c>
      <c r="L79">
        <v>1103716</v>
      </c>
      <c r="M79">
        <v>7.27</v>
      </c>
      <c r="N79">
        <v>99.14</v>
      </c>
      <c r="P79">
        <v>1</v>
      </c>
      <c r="R79" t="s">
        <v>23</v>
      </c>
      <c r="S79" t="s">
        <v>24</v>
      </c>
      <c r="T79" t="s">
        <v>316</v>
      </c>
    </row>
    <row r="80" spans="1:20" x14ac:dyDescent="0.25">
      <c r="A80">
        <v>79</v>
      </c>
      <c r="B80" t="str">
        <f>HYPERLINK("https://imapinvasives.natureserve.org/imap/services/page/Presence/1414381.html", "View")</f>
        <v>View</v>
      </c>
      <c r="C80">
        <v>1414381</v>
      </c>
      <c r="D80">
        <v>1427896</v>
      </c>
      <c r="E80" t="str">
        <f>HYPERLINK("http://imap3images.s3-website-us-east-1.amazonaws.com/1427896/p/imap_app_photo_1719877815903.jpg", "View")</f>
        <v>View</v>
      </c>
      <c r="F80" t="s">
        <v>19</v>
      </c>
      <c r="G80" t="s">
        <v>20</v>
      </c>
      <c r="H80">
        <v>1103716</v>
      </c>
      <c r="I80" t="str">
        <f>HYPERLINK("https://www.inaturalist.org/taxa/1103716-Litylenchus-crenatae", "View")</f>
        <v>View</v>
      </c>
      <c r="J80" t="s">
        <v>21</v>
      </c>
      <c r="K80" t="s">
        <v>22</v>
      </c>
      <c r="L80">
        <v>1103716</v>
      </c>
      <c r="M80">
        <v>8.7100000000000009</v>
      </c>
      <c r="N80">
        <v>70.709999999999994</v>
      </c>
      <c r="P80">
        <v>1</v>
      </c>
      <c r="R80" t="s">
        <v>23</v>
      </c>
      <c r="S80" t="s">
        <v>24</v>
      </c>
      <c r="T80" t="s">
        <v>316</v>
      </c>
    </row>
    <row r="81" spans="1:20" x14ac:dyDescent="0.25">
      <c r="A81">
        <v>80</v>
      </c>
      <c r="B81" t="str">
        <f>HYPERLINK("https://imapinvasives.natureserve.org/imap/services/page/Presence/1442582.html", "View")</f>
        <v>View</v>
      </c>
      <c r="C81">
        <v>1442582</v>
      </c>
      <c r="D81">
        <v>1457157</v>
      </c>
      <c r="E81" t="str">
        <f>HYPERLINK("http://imap3images.s3-website-us-east-1.amazonaws.com/1457157/p/imap_app_photo_1724704657348.jpg", "View")</f>
        <v>View</v>
      </c>
      <c r="F81" t="s">
        <v>19</v>
      </c>
      <c r="G81" t="s">
        <v>20</v>
      </c>
      <c r="H81">
        <v>1103716</v>
      </c>
      <c r="I81" t="str">
        <f>HYPERLINK("https://www.inaturalist.org/taxa/49202-Fagus-grandifolia", "View")</f>
        <v>View</v>
      </c>
      <c r="J81" t="s">
        <v>25</v>
      </c>
      <c r="K81" t="s">
        <v>26</v>
      </c>
      <c r="L81">
        <v>49202</v>
      </c>
      <c r="M81">
        <v>59.21</v>
      </c>
      <c r="N81">
        <v>68.14</v>
      </c>
      <c r="P81">
        <v>0</v>
      </c>
      <c r="R81" t="s">
        <v>29</v>
      </c>
      <c r="S81" t="s">
        <v>39</v>
      </c>
      <c r="T81" t="s">
        <v>317</v>
      </c>
    </row>
    <row r="82" spans="1:20" x14ac:dyDescent="0.25">
      <c r="A82">
        <v>81</v>
      </c>
      <c r="B82" t="str">
        <f>HYPERLINK("https://imapinvasives.natureserve.org/imap/services/page/Presence/1343743.html", "View")</f>
        <v>View</v>
      </c>
      <c r="C82">
        <v>1343743</v>
      </c>
      <c r="D82">
        <v>1359373</v>
      </c>
      <c r="E82" t="str">
        <f>HYPERLINK("http://imap3images.s3-website-us-east-1.amazonaws.com/1359373/p/imap_app_photo_1690835067827.jpg", "View")</f>
        <v>View</v>
      </c>
      <c r="F82" t="s">
        <v>19</v>
      </c>
      <c r="G82" t="s">
        <v>20</v>
      </c>
      <c r="H82">
        <v>1103716</v>
      </c>
      <c r="I82" t="str">
        <f t="shared" ref="I82:I89" si="2">HYPERLINK("https://www.inaturalist.org/taxa/1103716-Litylenchus-crenatae", "View")</f>
        <v>View</v>
      </c>
      <c r="J82" t="s">
        <v>21</v>
      </c>
      <c r="K82" t="s">
        <v>22</v>
      </c>
      <c r="L82">
        <v>1103716</v>
      </c>
      <c r="M82">
        <v>3.06</v>
      </c>
      <c r="N82">
        <v>47.22</v>
      </c>
      <c r="P82">
        <v>1</v>
      </c>
      <c r="R82" t="s">
        <v>23</v>
      </c>
      <c r="S82" t="s">
        <v>24</v>
      </c>
      <c r="T82" t="s">
        <v>316</v>
      </c>
    </row>
    <row r="83" spans="1:20" x14ac:dyDescent="0.25">
      <c r="A83">
        <v>82</v>
      </c>
      <c r="B83" t="str">
        <f>HYPERLINK("https://imapinvasives.natureserve.org/imap/services/page/Presence/1410593.html", "View")</f>
        <v>View</v>
      </c>
      <c r="C83">
        <v>1410593</v>
      </c>
      <c r="D83">
        <v>1423100</v>
      </c>
      <c r="E83" t="str">
        <f>HYPERLINK("http://imap3images.s3-website-us-east-1.amazonaws.com/1423100/p/imap_app_photo_1717786996066.jpg", "View")</f>
        <v>View</v>
      </c>
      <c r="F83" t="s">
        <v>19</v>
      </c>
      <c r="G83" t="s">
        <v>20</v>
      </c>
      <c r="H83">
        <v>1103716</v>
      </c>
      <c r="I83" t="str">
        <f t="shared" si="2"/>
        <v>View</v>
      </c>
      <c r="J83" t="s">
        <v>21</v>
      </c>
      <c r="K83" t="s">
        <v>22</v>
      </c>
      <c r="L83">
        <v>1103716</v>
      </c>
      <c r="M83">
        <v>4.6100000000000003</v>
      </c>
      <c r="N83">
        <v>72.069999999999993</v>
      </c>
      <c r="P83">
        <v>1</v>
      </c>
      <c r="R83" t="s">
        <v>23</v>
      </c>
      <c r="S83" t="s">
        <v>24</v>
      </c>
      <c r="T83" t="s">
        <v>316</v>
      </c>
    </row>
    <row r="84" spans="1:20" x14ac:dyDescent="0.25">
      <c r="A84">
        <v>83</v>
      </c>
      <c r="B84" t="str">
        <f>HYPERLINK("https://imapinvasives.natureserve.org/imap/services/page/Presence/1436812.html", "View")</f>
        <v>View</v>
      </c>
      <c r="C84">
        <v>1436812</v>
      </c>
      <c r="D84">
        <v>1450848</v>
      </c>
      <c r="E84" t="str">
        <f>HYPERLINK("http://imap3images.s3-website-us-east-1.amazonaws.com/1450848/p/imap_app_photo_1722016372219.jpg", "View")</f>
        <v>View</v>
      </c>
      <c r="F84" t="s">
        <v>19</v>
      </c>
      <c r="G84" t="s">
        <v>20</v>
      </c>
      <c r="H84">
        <v>1103716</v>
      </c>
      <c r="I84" t="str">
        <f t="shared" si="2"/>
        <v>View</v>
      </c>
      <c r="J84" t="s">
        <v>21</v>
      </c>
      <c r="K84" t="s">
        <v>22</v>
      </c>
      <c r="L84">
        <v>1103716</v>
      </c>
      <c r="M84">
        <v>37.090000000000003</v>
      </c>
      <c r="N84">
        <v>99.97</v>
      </c>
      <c r="P84">
        <v>1</v>
      </c>
      <c r="R84" t="s">
        <v>23</v>
      </c>
      <c r="S84" t="s">
        <v>24</v>
      </c>
      <c r="T84" t="s">
        <v>316</v>
      </c>
    </row>
    <row r="85" spans="1:20" x14ac:dyDescent="0.25">
      <c r="A85">
        <v>84</v>
      </c>
      <c r="B85" t="str">
        <f>HYPERLINK("https://imapinvasives.natureserve.org/imap/services/page/Presence/1337825.html", "View")</f>
        <v>View</v>
      </c>
      <c r="C85">
        <v>1337825</v>
      </c>
      <c r="D85">
        <v>1352461</v>
      </c>
      <c r="E85" t="str">
        <f>HYPERLINK("http://imap3images.s3-website-us-east-1.amazonaws.com/1352461/p/imap_app_photo_1688159004818.jpg", "View")</f>
        <v>View</v>
      </c>
      <c r="F85" t="s">
        <v>19</v>
      </c>
      <c r="G85" t="s">
        <v>20</v>
      </c>
      <c r="H85">
        <v>1103716</v>
      </c>
      <c r="I85" t="str">
        <f t="shared" si="2"/>
        <v>View</v>
      </c>
      <c r="J85" t="s">
        <v>21</v>
      </c>
      <c r="K85" t="s">
        <v>22</v>
      </c>
      <c r="L85">
        <v>1103716</v>
      </c>
      <c r="M85">
        <v>37.090000000000003</v>
      </c>
      <c r="N85">
        <v>99.58</v>
      </c>
      <c r="P85">
        <v>1</v>
      </c>
      <c r="R85" t="s">
        <v>23</v>
      </c>
      <c r="S85" t="s">
        <v>24</v>
      </c>
      <c r="T85" t="s">
        <v>316</v>
      </c>
    </row>
    <row r="86" spans="1:20" x14ac:dyDescent="0.25">
      <c r="A86">
        <v>85</v>
      </c>
      <c r="B86" t="str">
        <f>HYPERLINK("https://imapinvasives.natureserve.org/imap/services/page/Presence/1273454.html", "View")</f>
        <v>View</v>
      </c>
      <c r="C86">
        <v>1273454</v>
      </c>
      <c r="D86">
        <v>1282618</v>
      </c>
      <c r="E86" t="str">
        <f>HYPERLINK("http://imap3images.s3-website-us-east-1.amazonaws.com/1282618/p/imap_app_photo_1654175180980.jpg", "View")</f>
        <v>View</v>
      </c>
      <c r="F86" t="s">
        <v>19</v>
      </c>
      <c r="G86" t="s">
        <v>20</v>
      </c>
      <c r="H86">
        <v>1103716</v>
      </c>
      <c r="I86" t="str">
        <f t="shared" si="2"/>
        <v>View</v>
      </c>
      <c r="J86" t="s">
        <v>21</v>
      </c>
      <c r="K86" t="s">
        <v>22</v>
      </c>
      <c r="L86">
        <v>1103716</v>
      </c>
      <c r="M86">
        <v>7.7</v>
      </c>
      <c r="N86">
        <v>45.79</v>
      </c>
      <c r="P86">
        <v>1</v>
      </c>
      <c r="R86" t="s">
        <v>23</v>
      </c>
      <c r="S86" t="s">
        <v>24</v>
      </c>
      <c r="T86" t="s">
        <v>316</v>
      </c>
    </row>
    <row r="87" spans="1:20" x14ac:dyDescent="0.25">
      <c r="A87">
        <v>86</v>
      </c>
      <c r="B87" t="str">
        <f>HYPERLINK("https://imapinvasives.natureserve.org/imap/services/page/Presence/1365040.html", "View")</f>
        <v>View</v>
      </c>
      <c r="C87">
        <v>1365040</v>
      </c>
      <c r="D87">
        <v>1382979</v>
      </c>
      <c r="E87" t="str">
        <f>HYPERLINK("http://imap3images.s3-website-us-east-1.amazonaws.com/1382979/p/Photo_2.jpg", "View")</f>
        <v>View</v>
      </c>
      <c r="F87" t="s">
        <v>19</v>
      </c>
      <c r="G87" t="s">
        <v>20</v>
      </c>
      <c r="H87">
        <v>1103716</v>
      </c>
      <c r="I87" t="str">
        <f t="shared" si="2"/>
        <v>View</v>
      </c>
      <c r="J87" t="s">
        <v>21</v>
      </c>
      <c r="K87" t="s">
        <v>22</v>
      </c>
      <c r="L87">
        <v>1103716</v>
      </c>
      <c r="M87">
        <v>7.7</v>
      </c>
      <c r="N87">
        <v>36.65</v>
      </c>
      <c r="P87">
        <v>1</v>
      </c>
      <c r="R87" t="s">
        <v>23</v>
      </c>
      <c r="S87" t="s">
        <v>24</v>
      </c>
      <c r="T87" t="s">
        <v>316</v>
      </c>
    </row>
    <row r="88" spans="1:20" x14ac:dyDescent="0.25">
      <c r="A88">
        <v>87</v>
      </c>
      <c r="B88" t="str">
        <f>HYPERLINK("https://imapinvasives.natureserve.org/imap/services/page/Presence/1332057.html", "View")</f>
        <v>View</v>
      </c>
      <c r="C88">
        <v>1332057</v>
      </c>
      <c r="D88">
        <v>1345723</v>
      </c>
      <c r="E88" t="str">
        <f>HYPERLINK("http://imap3images.s3-website-us-east-1.amazonaws.com/1345723/p/imap_app_photo_1685103557607.jpg", "View")</f>
        <v>View</v>
      </c>
      <c r="F88" t="s">
        <v>19</v>
      </c>
      <c r="G88" t="s">
        <v>20</v>
      </c>
      <c r="H88">
        <v>1103716</v>
      </c>
      <c r="I88" t="str">
        <f t="shared" si="2"/>
        <v>View</v>
      </c>
      <c r="J88" t="s">
        <v>21</v>
      </c>
      <c r="K88" t="s">
        <v>22</v>
      </c>
      <c r="L88">
        <v>1103716</v>
      </c>
      <c r="M88">
        <v>7.19</v>
      </c>
      <c r="N88">
        <v>83.27</v>
      </c>
      <c r="P88">
        <v>1</v>
      </c>
      <c r="R88" t="s">
        <v>23</v>
      </c>
      <c r="S88" t="s">
        <v>24</v>
      </c>
      <c r="T88" t="s">
        <v>316</v>
      </c>
    </row>
    <row r="89" spans="1:20" x14ac:dyDescent="0.25">
      <c r="A89">
        <v>88</v>
      </c>
      <c r="B89" t="str">
        <f>HYPERLINK("https://imapinvasives.natureserve.org/imap/services/page/Presence/1285414.html", "View")</f>
        <v>View</v>
      </c>
      <c r="C89">
        <v>1285414</v>
      </c>
      <c r="D89">
        <v>1295050</v>
      </c>
      <c r="E89" t="str">
        <f>HYPERLINK("http://imap3images.s3-website-us-east-1.amazonaws.com/1295050/p/imap_app_photo_1659799467570.jpg", "View")</f>
        <v>View</v>
      </c>
      <c r="F89" t="s">
        <v>19</v>
      </c>
      <c r="G89" t="s">
        <v>20</v>
      </c>
      <c r="H89">
        <v>1103716</v>
      </c>
      <c r="I89" t="str">
        <f t="shared" si="2"/>
        <v>View</v>
      </c>
      <c r="J89" t="s">
        <v>21</v>
      </c>
      <c r="K89" t="s">
        <v>22</v>
      </c>
      <c r="L89">
        <v>1103716</v>
      </c>
      <c r="M89">
        <v>37.090000000000003</v>
      </c>
      <c r="N89">
        <v>99.78</v>
      </c>
      <c r="P89">
        <v>1</v>
      </c>
      <c r="R89" t="s">
        <v>23</v>
      </c>
      <c r="S89" t="s">
        <v>24</v>
      </c>
      <c r="T89" t="s">
        <v>316</v>
      </c>
    </row>
    <row r="90" spans="1:20" x14ac:dyDescent="0.25">
      <c r="A90">
        <v>89</v>
      </c>
      <c r="B90" t="str">
        <f>HYPERLINK("https://imapinvasives.natureserve.org/imap/services/page/Presence/1342245.html", "View")</f>
        <v>View</v>
      </c>
      <c r="C90">
        <v>1342245</v>
      </c>
      <c r="D90">
        <v>1357684</v>
      </c>
      <c r="E90" t="str">
        <f>HYPERLINK("http://imap3images.s3-website-us-east-1.amazonaws.com/1357684/p/Photo_2.jpg", "View")</f>
        <v>View</v>
      </c>
      <c r="F90" t="s">
        <v>19</v>
      </c>
      <c r="G90" t="s">
        <v>20</v>
      </c>
      <c r="H90">
        <v>1103716</v>
      </c>
      <c r="I90" t="str">
        <f>HYPERLINK("https://www.inaturalist.org/taxa/42223-Odocoileus-virginianus", "View")</f>
        <v>View</v>
      </c>
      <c r="J90" t="s">
        <v>43</v>
      </c>
      <c r="K90" t="s">
        <v>44</v>
      </c>
      <c r="L90">
        <v>42223</v>
      </c>
      <c r="M90">
        <v>22.73</v>
      </c>
      <c r="N90">
        <v>19.05</v>
      </c>
      <c r="P90">
        <v>0</v>
      </c>
      <c r="R90" t="s">
        <v>40</v>
      </c>
      <c r="S90" t="s">
        <v>33</v>
      </c>
      <c r="T90" t="s">
        <v>317</v>
      </c>
    </row>
    <row r="91" spans="1:20" x14ac:dyDescent="0.25">
      <c r="A91">
        <v>90</v>
      </c>
      <c r="B91" t="str">
        <f>HYPERLINK("https://imapinvasives.natureserve.org/imap/services/page/Presence/1355819.html", "View")</f>
        <v>View</v>
      </c>
      <c r="C91">
        <v>1355819</v>
      </c>
      <c r="D91">
        <v>1373452</v>
      </c>
      <c r="E91" t="str">
        <f>HYPERLINK("http://imap3images.s3-website-us-east-1.amazonaws.com/1373452/p/imap_app_photo_1696622482460.jpg", "View")</f>
        <v>View</v>
      </c>
      <c r="F91" t="s">
        <v>19</v>
      </c>
      <c r="G91" t="s">
        <v>20</v>
      </c>
      <c r="H91">
        <v>1103716</v>
      </c>
      <c r="I91" t="str">
        <f>HYPERLINK("https://www.inaturalist.org/taxa/1103716-Litylenchus-crenatae", "View")</f>
        <v>View</v>
      </c>
      <c r="J91" t="s">
        <v>21</v>
      </c>
      <c r="K91" t="s">
        <v>22</v>
      </c>
      <c r="L91">
        <v>1103716</v>
      </c>
      <c r="M91">
        <v>8.06</v>
      </c>
      <c r="N91">
        <v>78.55</v>
      </c>
      <c r="P91">
        <v>1</v>
      </c>
      <c r="R91" t="s">
        <v>23</v>
      </c>
      <c r="S91" t="s">
        <v>24</v>
      </c>
      <c r="T91" t="s">
        <v>316</v>
      </c>
    </row>
    <row r="92" spans="1:20" x14ac:dyDescent="0.25">
      <c r="A92">
        <v>91</v>
      </c>
      <c r="B92" t="str">
        <f>HYPERLINK("https://imapinvasives.natureserve.org/imap/services/page/Presence/1339888.html", "View")</f>
        <v>View</v>
      </c>
      <c r="C92">
        <v>1339888</v>
      </c>
      <c r="D92">
        <v>1354950</v>
      </c>
      <c r="E92" t="str">
        <f>HYPERLINK("http://imap3images.s3-website-us-east-1.amazonaws.com/1354950/p/imap_app_photo_1689103981052.jpg", "View")</f>
        <v>View</v>
      </c>
      <c r="F92" t="s">
        <v>19</v>
      </c>
      <c r="G92" t="s">
        <v>20</v>
      </c>
      <c r="H92">
        <v>1103716</v>
      </c>
      <c r="I92" t="str">
        <f>HYPERLINK("https://www.inaturalist.org/taxa/1103716-Litylenchus-crenatae", "View")</f>
        <v>View</v>
      </c>
      <c r="J92" t="s">
        <v>21</v>
      </c>
      <c r="K92" t="s">
        <v>22</v>
      </c>
      <c r="L92">
        <v>1103716</v>
      </c>
      <c r="M92">
        <v>45.38</v>
      </c>
      <c r="N92">
        <v>92.5</v>
      </c>
      <c r="P92">
        <v>1</v>
      </c>
      <c r="R92" t="s">
        <v>23</v>
      </c>
      <c r="S92" t="s">
        <v>24</v>
      </c>
      <c r="T92" t="s">
        <v>316</v>
      </c>
    </row>
    <row r="93" spans="1:20" x14ac:dyDescent="0.25">
      <c r="A93">
        <v>92</v>
      </c>
      <c r="B93" t="str">
        <f>HYPERLINK("https://imapinvasives.natureserve.org/imap/services/page/Presence/1062584.html", "View")</f>
        <v>View</v>
      </c>
      <c r="C93">
        <v>1062584</v>
      </c>
      <c r="D93">
        <v>1067254</v>
      </c>
      <c r="E93" t="str">
        <f>HYPERLINK("http://imap3images.s3-website-us-east-1.amazonaws.com/1067254/p/3A101BE2-1CD2-465C-A8B1-5FFC4BB9389C.jpeg", "View")</f>
        <v>View</v>
      </c>
      <c r="F93" t="s">
        <v>19</v>
      </c>
      <c r="G93" t="s">
        <v>20</v>
      </c>
      <c r="H93">
        <v>1103716</v>
      </c>
      <c r="I93" t="str">
        <f>HYPERLINK("https://www.inaturalist.org/taxa/49202-Fagus-grandifolia", "View")</f>
        <v>View</v>
      </c>
      <c r="J93" t="s">
        <v>25</v>
      </c>
      <c r="K93" t="s">
        <v>26</v>
      </c>
      <c r="L93">
        <v>49202</v>
      </c>
      <c r="M93">
        <v>34.9</v>
      </c>
      <c r="N93">
        <v>61.58</v>
      </c>
      <c r="P93">
        <v>0</v>
      </c>
      <c r="R93" t="s">
        <v>29</v>
      </c>
      <c r="S93" t="s">
        <v>24</v>
      </c>
      <c r="T93" t="s">
        <v>316</v>
      </c>
    </row>
    <row r="94" spans="1:20" x14ac:dyDescent="0.25">
      <c r="A94">
        <v>93</v>
      </c>
      <c r="B94" t="str">
        <f>HYPERLINK("https://imapinvasives.natureserve.org/imap/services/page/Presence/1290067.html", "View")</f>
        <v>View</v>
      </c>
      <c r="C94">
        <v>1290067</v>
      </c>
      <c r="D94">
        <v>1300250</v>
      </c>
      <c r="E94" t="str">
        <f>HYPERLINK("http://imap3images.s3-website-us-east-1.amazonaws.com/1300250/p/imap_app_photo_1661701393637.jpg", "View")</f>
        <v>View</v>
      </c>
      <c r="F94" t="s">
        <v>19</v>
      </c>
      <c r="G94" t="s">
        <v>20</v>
      </c>
      <c r="H94">
        <v>1103716</v>
      </c>
      <c r="I94" t="str">
        <f>HYPERLINK("https://www.inaturalist.org/taxa/1103716-Litylenchus-crenatae", "View")</f>
        <v>View</v>
      </c>
      <c r="J94" t="s">
        <v>21</v>
      </c>
      <c r="K94" t="s">
        <v>22</v>
      </c>
      <c r="L94">
        <v>1103716</v>
      </c>
      <c r="M94">
        <v>37.090000000000003</v>
      </c>
      <c r="N94">
        <v>79.36</v>
      </c>
      <c r="P94">
        <v>1</v>
      </c>
      <c r="R94" t="s">
        <v>23</v>
      </c>
      <c r="S94" t="s">
        <v>24</v>
      </c>
      <c r="T94" t="s">
        <v>316</v>
      </c>
    </row>
    <row r="95" spans="1:20" x14ac:dyDescent="0.25">
      <c r="A95">
        <v>94</v>
      </c>
      <c r="B95" t="str">
        <f>HYPERLINK("https://imapinvasives.natureserve.org/imap/services/page/Presence/1339923.html", "View")</f>
        <v>View</v>
      </c>
      <c r="C95">
        <v>1339923</v>
      </c>
      <c r="D95">
        <v>1354991</v>
      </c>
      <c r="E95" t="str">
        <f>HYPERLINK("http://imap3images.s3-website-us-east-1.amazonaws.com/1354991/p/imap_app_photo_1689113531586.jpg", "View")</f>
        <v>View</v>
      </c>
      <c r="F95" t="s">
        <v>19</v>
      </c>
      <c r="G95" t="s">
        <v>20</v>
      </c>
      <c r="H95">
        <v>1103716</v>
      </c>
      <c r="I95" t="str">
        <f>HYPERLINK("https://www.inaturalist.org/taxa/60746-Smilax-rotundifolia", "View")</f>
        <v>View</v>
      </c>
      <c r="J95" t="s">
        <v>45</v>
      </c>
      <c r="K95" t="s">
        <v>46</v>
      </c>
      <c r="L95">
        <v>60746</v>
      </c>
      <c r="M95">
        <v>38.69</v>
      </c>
      <c r="N95">
        <v>6.65</v>
      </c>
      <c r="P95">
        <v>0</v>
      </c>
      <c r="R95" t="s">
        <v>29</v>
      </c>
      <c r="S95" t="s">
        <v>33</v>
      </c>
      <c r="T95" t="s">
        <v>317</v>
      </c>
    </row>
    <row r="96" spans="1:20" x14ac:dyDescent="0.25">
      <c r="A96">
        <v>95</v>
      </c>
      <c r="B96" t="str">
        <f>HYPERLINK("https://imapinvasives.natureserve.org/imap/services/page/Presence/1332966.html", "View")</f>
        <v>View</v>
      </c>
      <c r="C96">
        <v>1332966</v>
      </c>
      <c r="D96">
        <v>1347035</v>
      </c>
      <c r="E96" t="str">
        <f>HYPERLINK("http://imap3images.s3-website-us-east-1.amazonaws.com/1347035/p/imap_app_photo_1685815041869.jpg", "View")</f>
        <v>View</v>
      </c>
      <c r="F96" t="s">
        <v>19</v>
      </c>
      <c r="G96" t="s">
        <v>20</v>
      </c>
      <c r="H96">
        <v>1103716</v>
      </c>
      <c r="I96" t="str">
        <f>HYPERLINK("https://www.inaturalist.org/taxa/1103716-Litylenchus-crenatae", "View")</f>
        <v>View</v>
      </c>
      <c r="J96" t="s">
        <v>21</v>
      </c>
      <c r="K96" t="s">
        <v>22</v>
      </c>
      <c r="L96">
        <v>1103716</v>
      </c>
      <c r="M96">
        <v>21.77</v>
      </c>
      <c r="N96">
        <v>85.27</v>
      </c>
      <c r="P96">
        <v>1</v>
      </c>
      <c r="R96" t="s">
        <v>23</v>
      </c>
      <c r="S96" t="s">
        <v>24</v>
      </c>
      <c r="T96" t="s">
        <v>316</v>
      </c>
    </row>
    <row r="97" spans="1:20" x14ac:dyDescent="0.25">
      <c r="A97">
        <v>96</v>
      </c>
      <c r="B97" t="str">
        <f>HYPERLINK("https://imapinvasives.natureserve.org/imap/services/page/Presence/1413881.html", "View")</f>
        <v>View</v>
      </c>
      <c r="C97">
        <v>1413881</v>
      </c>
      <c r="D97">
        <v>1427380</v>
      </c>
      <c r="E97" t="str">
        <f>HYPERLINK("http://imap3images.s3-website-us-east-1.amazonaws.com/1427380/p/imap_app_photo_1719696313919.jpg", "View")</f>
        <v>View</v>
      </c>
      <c r="F97" t="s">
        <v>19</v>
      </c>
      <c r="G97" t="s">
        <v>20</v>
      </c>
      <c r="H97">
        <v>1103716</v>
      </c>
      <c r="I97" t="str">
        <f>HYPERLINK("https://www.inaturalist.org/taxa/1103716-Litylenchus-crenatae", "View")</f>
        <v>View</v>
      </c>
      <c r="J97" t="s">
        <v>21</v>
      </c>
      <c r="K97" t="s">
        <v>22</v>
      </c>
      <c r="L97">
        <v>1103716</v>
      </c>
      <c r="M97">
        <v>37.090000000000003</v>
      </c>
      <c r="N97">
        <v>34.31</v>
      </c>
      <c r="P97">
        <v>1</v>
      </c>
      <c r="R97" t="s">
        <v>23</v>
      </c>
      <c r="S97" t="s">
        <v>33</v>
      </c>
      <c r="T97" t="s">
        <v>317</v>
      </c>
    </row>
    <row r="98" spans="1:20" x14ac:dyDescent="0.25">
      <c r="A98">
        <v>97</v>
      </c>
      <c r="B98" t="str">
        <f>HYPERLINK("https://imapinvasives.natureserve.org/imap/services/page/Presence/1355637.html", "View")</f>
        <v>View</v>
      </c>
      <c r="C98">
        <v>1355637</v>
      </c>
      <c r="D98">
        <v>1373270</v>
      </c>
      <c r="E98" t="str">
        <f>HYPERLINK("http://imap3images.s3-website-us-east-1.amazonaws.com/1373270/p/imap_app_photo_1696556076729.jpg", "View")</f>
        <v>View</v>
      </c>
      <c r="F98" t="s">
        <v>19</v>
      </c>
      <c r="G98" t="s">
        <v>20</v>
      </c>
      <c r="H98">
        <v>1103716</v>
      </c>
      <c r="I98" t="str">
        <f>HYPERLINK("https://www.inaturalist.org/taxa/1103716-Litylenchus-crenatae", "View")</f>
        <v>View</v>
      </c>
      <c r="J98" t="s">
        <v>21</v>
      </c>
      <c r="K98" t="s">
        <v>22</v>
      </c>
      <c r="L98">
        <v>1103716</v>
      </c>
      <c r="M98">
        <v>37.090000000000003</v>
      </c>
      <c r="N98">
        <v>98.53</v>
      </c>
      <c r="P98">
        <v>1</v>
      </c>
      <c r="R98" t="s">
        <v>23</v>
      </c>
      <c r="S98" t="s">
        <v>24</v>
      </c>
      <c r="T98" t="s">
        <v>316</v>
      </c>
    </row>
    <row r="99" spans="1:20" x14ac:dyDescent="0.25">
      <c r="A99">
        <v>98</v>
      </c>
      <c r="B99" t="str">
        <f>HYPERLINK("https://imapinvasives.natureserve.org/imap/services/page/Presence/1434762.html", "View")</f>
        <v>View</v>
      </c>
      <c r="C99">
        <v>1434762</v>
      </c>
      <c r="D99">
        <v>1448441</v>
      </c>
      <c r="E99" t="str">
        <f>HYPERLINK("http://imap3images.s3-website-us-east-1.amazonaws.com/1448441/p/imap_app_photo_1721163619502.jpg", "View")</f>
        <v>View</v>
      </c>
      <c r="F99" t="s">
        <v>19</v>
      </c>
      <c r="G99" t="s">
        <v>20</v>
      </c>
      <c r="H99">
        <v>1103716</v>
      </c>
      <c r="I99" t="str">
        <f>HYPERLINK("https://www.inaturalist.org/taxa/1103716-Litylenchus-crenatae", "View")</f>
        <v>View</v>
      </c>
      <c r="J99" t="s">
        <v>21</v>
      </c>
      <c r="K99" t="s">
        <v>22</v>
      </c>
      <c r="L99">
        <v>1103716</v>
      </c>
      <c r="M99">
        <v>20.66</v>
      </c>
      <c r="N99">
        <v>97.3</v>
      </c>
      <c r="P99">
        <v>1</v>
      </c>
      <c r="R99" t="s">
        <v>23</v>
      </c>
      <c r="S99" t="s">
        <v>24</v>
      </c>
      <c r="T99" t="s">
        <v>316</v>
      </c>
    </row>
    <row r="100" spans="1:20" x14ac:dyDescent="0.25">
      <c r="A100">
        <v>99</v>
      </c>
      <c r="B100" t="str">
        <f>HYPERLINK("https://imapinvasives.natureserve.org/imap/services/page/Presence/1280904.html", "View")</f>
        <v>View</v>
      </c>
      <c r="C100">
        <v>1280904</v>
      </c>
      <c r="D100">
        <v>1290314</v>
      </c>
      <c r="E100" t="str">
        <f>HYPERLINK("http://imap3images.s3-website-us-east-1.amazonaws.com/1290314/p/imap_app_photo_1656766456762.jpg", "View")</f>
        <v>View</v>
      </c>
      <c r="F100" t="s">
        <v>19</v>
      </c>
      <c r="G100" t="s">
        <v>20</v>
      </c>
      <c r="H100">
        <v>1103716</v>
      </c>
      <c r="I100" t="str">
        <f>HYPERLINK("https://www.inaturalist.org/taxa/49202-Fagus-grandifolia", "View")</f>
        <v>View</v>
      </c>
      <c r="J100" t="s">
        <v>25</v>
      </c>
      <c r="K100" t="s">
        <v>26</v>
      </c>
      <c r="L100">
        <v>49202</v>
      </c>
      <c r="M100">
        <v>71.89</v>
      </c>
      <c r="N100">
        <v>10.63</v>
      </c>
      <c r="P100">
        <v>0</v>
      </c>
      <c r="R100" t="s">
        <v>27</v>
      </c>
      <c r="S100" t="s">
        <v>33</v>
      </c>
      <c r="T100" t="s">
        <v>317</v>
      </c>
    </row>
    <row r="101" spans="1:20" x14ac:dyDescent="0.25">
      <c r="A101">
        <v>100</v>
      </c>
      <c r="B101" t="str">
        <f>HYPERLINK("https://imapinvasives.natureserve.org/imap/services/page/Presence/1287114.html", "View")</f>
        <v>View</v>
      </c>
      <c r="C101">
        <v>1287114</v>
      </c>
      <c r="D101">
        <v>1296934</v>
      </c>
      <c r="E101" t="str">
        <f>HYPERLINK("http://imap3images.s3-website-us-east-1.amazonaws.com/1296934/p/imap_app_photo_1660649456312.jpg", "View")</f>
        <v>View</v>
      </c>
      <c r="F101" t="s">
        <v>19</v>
      </c>
      <c r="G101" t="s">
        <v>20</v>
      </c>
      <c r="H101">
        <v>1103716</v>
      </c>
      <c r="I101" t="str">
        <f>HYPERLINK("https://www.inaturalist.org/taxa/49202-Fagus-grandifolia", "View")</f>
        <v>View</v>
      </c>
      <c r="J101" t="s">
        <v>25</v>
      </c>
      <c r="K101" t="s">
        <v>26</v>
      </c>
      <c r="L101">
        <v>49202</v>
      </c>
      <c r="M101">
        <v>71.89</v>
      </c>
      <c r="N101">
        <v>53.41</v>
      </c>
      <c r="P101">
        <v>0</v>
      </c>
      <c r="R101" t="s">
        <v>29</v>
      </c>
      <c r="S101" t="s">
        <v>24</v>
      </c>
      <c r="T101" t="s">
        <v>316</v>
      </c>
    </row>
    <row r="102" spans="1:20" x14ac:dyDescent="0.25">
      <c r="A102">
        <v>1</v>
      </c>
      <c r="B102" t="str">
        <f>HYPERLINK("https://imapinvasives.natureserve.org/imap/services/page/Presence/1139949.html", "View")</f>
        <v>View</v>
      </c>
      <c r="C102">
        <v>1139949</v>
      </c>
      <c r="D102">
        <v>1146463</v>
      </c>
      <c r="E102" t="str">
        <f>HYPERLINK("http://imap3images.s3-website-us-east-1.amazonaws.com/1146463/p/imap_app_photo_1622684702366.jpg", "View")</f>
        <v>View</v>
      </c>
      <c r="F102" t="s">
        <v>47</v>
      </c>
      <c r="G102" t="s">
        <v>48</v>
      </c>
      <c r="H102">
        <v>54811</v>
      </c>
      <c r="I102" t="str">
        <f>HYPERLINK("https://www.inaturalist.org/taxa/54811-Rhamnus-cathartica", "View")</f>
        <v>View</v>
      </c>
      <c r="J102" t="s">
        <v>47</v>
      </c>
      <c r="K102" t="s">
        <v>49</v>
      </c>
      <c r="L102">
        <v>54811</v>
      </c>
      <c r="M102">
        <v>49.59</v>
      </c>
      <c r="N102">
        <v>57.47</v>
      </c>
      <c r="P102">
        <v>1</v>
      </c>
      <c r="R102" t="s">
        <v>23</v>
      </c>
      <c r="S102" t="s">
        <v>24</v>
      </c>
      <c r="T102" t="s">
        <v>316</v>
      </c>
    </row>
    <row r="103" spans="1:20" x14ac:dyDescent="0.25">
      <c r="A103">
        <v>2</v>
      </c>
      <c r="B103" t="str">
        <f>HYPERLINK("https://imapinvasives.natureserve.org/imap/services/page/Presence/527797.html", "View")</f>
        <v>View</v>
      </c>
      <c r="C103">
        <v>527797</v>
      </c>
      <c r="D103">
        <v>527797</v>
      </c>
      <c r="E103" t="str">
        <f>HYPERLINK("http://imap3images.s3-website-us-east-1.amazonaws.com/527797/p/photourl1_2018_07_02_lexlill_l9zrtvoy.jpg", "View")</f>
        <v>View</v>
      </c>
      <c r="F103" t="s">
        <v>47</v>
      </c>
      <c r="G103" t="s">
        <v>48</v>
      </c>
      <c r="H103">
        <v>54811</v>
      </c>
      <c r="I103" t="str">
        <f>HYPERLINK("https://www.inaturalist.org/taxa/54811-Rhamnus-cathartica", "View")</f>
        <v>View</v>
      </c>
      <c r="J103" t="s">
        <v>47</v>
      </c>
      <c r="K103" t="s">
        <v>49</v>
      </c>
      <c r="L103">
        <v>54811</v>
      </c>
      <c r="M103">
        <v>49.59</v>
      </c>
      <c r="N103">
        <v>98.88</v>
      </c>
      <c r="P103">
        <v>1</v>
      </c>
      <c r="R103" t="s">
        <v>23</v>
      </c>
      <c r="S103" t="s">
        <v>24</v>
      </c>
      <c r="T103" t="s">
        <v>316</v>
      </c>
    </row>
    <row r="104" spans="1:20" x14ac:dyDescent="0.25">
      <c r="A104">
        <v>3</v>
      </c>
      <c r="B104" t="str">
        <f>HYPERLINK("https://imapinvasives.natureserve.org/imap/services/page/Presence/1344231.html", "View")</f>
        <v>View</v>
      </c>
      <c r="C104">
        <v>1344231</v>
      </c>
      <c r="D104">
        <v>1359897</v>
      </c>
      <c r="E104" t="str">
        <f>HYPERLINK("http://imap3images.s3-website-us-east-1.amazonaws.com/1359897/p/Photo3-20230801-201154.jpg", "View")</f>
        <v>View</v>
      </c>
      <c r="F104" t="s">
        <v>47</v>
      </c>
      <c r="G104" t="s">
        <v>48</v>
      </c>
      <c r="H104">
        <v>54811</v>
      </c>
      <c r="I104" t="str">
        <f>HYPERLINK("https://www.inaturalist.org/taxa/54811-Rhamnus-cathartica", "View")</f>
        <v>View</v>
      </c>
      <c r="J104" t="s">
        <v>47</v>
      </c>
      <c r="K104" t="s">
        <v>49</v>
      </c>
      <c r="L104">
        <v>54811</v>
      </c>
      <c r="M104">
        <v>9.81</v>
      </c>
      <c r="N104">
        <v>89.49</v>
      </c>
      <c r="P104">
        <v>1</v>
      </c>
      <c r="R104" t="s">
        <v>23</v>
      </c>
      <c r="S104" t="s">
        <v>24</v>
      </c>
      <c r="T104" t="s">
        <v>316</v>
      </c>
    </row>
    <row r="105" spans="1:20" x14ac:dyDescent="0.25">
      <c r="A105">
        <v>4</v>
      </c>
      <c r="B105" t="str">
        <f>HYPERLINK("https://imapinvasives.natureserve.org/imap/services/page/Presence/1339048.html", "View")</f>
        <v>View</v>
      </c>
      <c r="C105">
        <v>1339048</v>
      </c>
      <c r="D105">
        <v>1353886</v>
      </c>
      <c r="E105" t="str">
        <f>HYPERLINK("http://imap3images.s3-website-us-east-1.amazonaws.com/1353886/p/Photo2-20230706-154954.jpg", "View")</f>
        <v>View</v>
      </c>
      <c r="F105" t="s">
        <v>47</v>
      </c>
      <c r="G105" t="s">
        <v>48</v>
      </c>
      <c r="H105">
        <v>54811</v>
      </c>
      <c r="I105" t="str">
        <f>HYPERLINK("https://www.inaturalist.org/taxa/52763-Cephalanthus-occidentalis", "View")</f>
        <v>View</v>
      </c>
      <c r="J105" t="s">
        <v>50</v>
      </c>
      <c r="K105" t="s">
        <v>51</v>
      </c>
      <c r="L105">
        <v>52763</v>
      </c>
      <c r="M105">
        <v>6.45</v>
      </c>
      <c r="N105">
        <v>10.17</v>
      </c>
      <c r="P105">
        <v>0</v>
      </c>
      <c r="R105" t="s">
        <v>29</v>
      </c>
      <c r="S105" t="s">
        <v>33</v>
      </c>
      <c r="T105" t="s">
        <v>317</v>
      </c>
    </row>
    <row r="106" spans="1:20" x14ac:dyDescent="0.25">
      <c r="A106">
        <v>5</v>
      </c>
      <c r="B106" t="str">
        <f>HYPERLINK("https://imapinvasives.natureserve.org/imap/services/page/Presence/1149160.html", "View")</f>
        <v>View</v>
      </c>
      <c r="C106">
        <v>1149160</v>
      </c>
      <c r="D106">
        <v>1155949</v>
      </c>
      <c r="E106" t="str">
        <f>HYPERLINK("http://imap3images.s3-website-us-east-1.amazonaws.com/1155949/p/imap_app_photo_1625417937088.jpg", "View")</f>
        <v>View</v>
      </c>
      <c r="F106" t="s">
        <v>47</v>
      </c>
      <c r="G106" t="s">
        <v>48</v>
      </c>
      <c r="H106">
        <v>54811</v>
      </c>
      <c r="I106" t="str">
        <f t="shared" ref="I106:I111" si="3">HYPERLINK("https://www.inaturalist.org/taxa/54811-Rhamnus-cathartica", "View")</f>
        <v>View</v>
      </c>
      <c r="J106" t="s">
        <v>47</v>
      </c>
      <c r="K106" t="s">
        <v>49</v>
      </c>
      <c r="L106">
        <v>54811</v>
      </c>
      <c r="M106">
        <v>14.72</v>
      </c>
      <c r="N106">
        <v>98.63</v>
      </c>
      <c r="P106">
        <v>1</v>
      </c>
      <c r="R106" t="s">
        <v>23</v>
      </c>
      <c r="S106" t="s">
        <v>24</v>
      </c>
      <c r="T106" t="s">
        <v>316</v>
      </c>
    </row>
    <row r="107" spans="1:20" x14ac:dyDescent="0.25">
      <c r="A107">
        <v>6</v>
      </c>
      <c r="B107" t="str">
        <f>HYPERLINK("https://imapinvasives.natureserve.org/imap/services/page/Presence/1280201.html", "View")</f>
        <v>View</v>
      </c>
      <c r="C107">
        <v>1280201</v>
      </c>
      <c r="D107">
        <v>1289591</v>
      </c>
      <c r="E107" t="str">
        <f>HYPERLINK("http://imap3images.s3-website-us-east-1.amazonaws.com/1289591/p/imap_app_photo_1656437475523.jpg", "View")</f>
        <v>View</v>
      </c>
      <c r="F107" t="s">
        <v>47</v>
      </c>
      <c r="G107" t="s">
        <v>48</v>
      </c>
      <c r="H107">
        <v>54811</v>
      </c>
      <c r="I107" t="str">
        <f t="shared" si="3"/>
        <v>View</v>
      </c>
      <c r="J107" t="s">
        <v>47</v>
      </c>
      <c r="K107" t="s">
        <v>49</v>
      </c>
      <c r="L107">
        <v>54811</v>
      </c>
      <c r="M107">
        <v>14.72</v>
      </c>
      <c r="N107">
        <v>99.68</v>
      </c>
      <c r="P107">
        <v>1</v>
      </c>
      <c r="R107" t="s">
        <v>23</v>
      </c>
      <c r="S107" t="s">
        <v>24</v>
      </c>
      <c r="T107" t="s">
        <v>316</v>
      </c>
    </row>
    <row r="108" spans="1:20" x14ac:dyDescent="0.25">
      <c r="A108">
        <v>7</v>
      </c>
      <c r="B108" t="str">
        <f>HYPERLINK("https://imapinvasives.natureserve.org/imap/services/page/Presence/514101.html", "View")</f>
        <v>View</v>
      </c>
      <c r="C108">
        <v>514101</v>
      </c>
      <c r="D108">
        <v>514101</v>
      </c>
      <c r="E108" t="str">
        <f>HYPERLINK("http://imap3images.s3-website-us-east-1.amazonaws.com/514101/p/photourl1_2017_08_22_kevsanders_c2hnugoa.jpg", "View")</f>
        <v>View</v>
      </c>
      <c r="F108" t="s">
        <v>47</v>
      </c>
      <c r="G108" t="s">
        <v>48</v>
      </c>
      <c r="H108">
        <v>54811</v>
      </c>
      <c r="I108" t="str">
        <f t="shared" si="3"/>
        <v>View</v>
      </c>
      <c r="J108" t="s">
        <v>47</v>
      </c>
      <c r="K108" t="s">
        <v>49</v>
      </c>
      <c r="L108">
        <v>54811</v>
      </c>
      <c r="M108">
        <v>8.14</v>
      </c>
      <c r="N108">
        <v>66.05</v>
      </c>
      <c r="P108">
        <v>1</v>
      </c>
      <c r="R108" t="s">
        <v>23</v>
      </c>
      <c r="S108" t="s">
        <v>24</v>
      </c>
      <c r="T108" t="s">
        <v>316</v>
      </c>
    </row>
    <row r="109" spans="1:20" x14ac:dyDescent="0.25">
      <c r="A109">
        <v>8</v>
      </c>
      <c r="B109" t="str">
        <f>HYPERLINK("https://imapinvasives.natureserve.org/imap/services/page/Presence/417545.html", "View")</f>
        <v>View</v>
      </c>
      <c r="C109">
        <v>417545</v>
      </c>
      <c r="D109">
        <v>417545</v>
      </c>
      <c r="E109" t="str">
        <f>HYPERLINK("http://imap3images.s3-website-us-east-1.amazonaws.com/417545/p/photourl1_2014_07_17_angklinczar_xyddt1aj.jpg", "View")</f>
        <v>View</v>
      </c>
      <c r="F109" t="s">
        <v>47</v>
      </c>
      <c r="G109" t="s">
        <v>48</v>
      </c>
      <c r="H109">
        <v>54811</v>
      </c>
      <c r="I109" t="str">
        <f t="shared" si="3"/>
        <v>View</v>
      </c>
      <c r="J109" t="s">
        <v>47</v>
      </c>
      <c r="K109" t="s">
        <v>49</v>
      </c>
      <c r="L109">
        <v>54811</v>
      </c>
      <c r="M109">
        <v>9.7899999999999991</v>
      </c>
      <c r="N109">
        <v>79.3</v>
      </c>
      <c r="P109">
        <v>1</v>
      </c>
      <c r="R109" t="s">
        <v>23</v>
      </c>
      <c r="S109" t="s">
        <v>24</v>
      </c>
      <c r="T109" t="s">
        <v>316</v>
      </c>
    </row>
    <row r="110" spans="1:20" x14ac:dyDescent="0.25">
      <c r="A110">
        <v>9</v>
      </c>
      <c r="B110" t="str">
        <f>HYPERLINK("https://imapinvasives.natureserve.org/imap/services/page/Presence/1152569.html", "View")</f>
        <v>View</v>
      </c>
      <c r="C110">
        <v>1152569</v>
      </c>
      <c r="D110">
        <v>1159514</v>
      </c>
      <c r="E110" t="str">
        <f>HYPERLINK("http://imap3images.s3-website-us-east-1.amazonaws.com/1159514/p/imap_app_photo_1627225074639.jpg", "View")</f>
        <v>View</v>
      </c>
      <c r="F110" t="s">
        <v>47</v>
      </c>
      <c r="G110" t="s">
        <v>48</v>
      </c>
      <c r="H110">
        <v>54811</v>
      </c>
      <c r="I110" t="str">
        <f t="shared" si="3"/>
        <v>View</v>
      </c>
      <c r="J110" t="s">
        <v>47</v>
      </c>
      <c r="K110" t="s">
        <v>49</v>
      </c>
      <c r="L110">
        <v>54811</v>
      </c>
      <c r="M110">
        <v>32.729999999999997</v>
      </c>
      <c r="N110">
        <v>99.05</v>
      </c>
      <c r="P110">
        <v>1</v>
      </c>
      <c r="R110" t="s">
        <v>23</v>
      </c>
      <c r="S110" t="s">
        <v>24</v>
      </c>
      <c r="T110" t="s">
        <v>316</v>
      </c>
    </row>
    <row r="111" spans="1:20" x14ac:dyDescent="0.25">
      <c r="A111">
        <v>10</v>
      </c>
      <c r="B111" t="str">
        <f>HYPERLINK("https://imapinvasives.natureserve.org/imap/services/page/Presence/1334353.html", "View")</f>
        <v>View</v>
      </c>
      <c r="C111">
        <v>1334353</v>
      </c>
      <c r="D111">
        <v>1348472</v>
      </c>
      <c r="E111" t="str">
        <f>HYPERLINK("http://imap3images.s3-website-us-east-1.amazonaws.com/1348472/p/imap_app_photo_1686076262411.jpg", "View")</f>
        <v>View</v>
      </c>
      <c r="F111" t="s">
        <v>47</v>
      </c>
      <c r="G111" t="s">
        <v>48</v>
      </c>
      <c r="H111">
        <v>54811</v>
      </c>
      <c r="I111" t="str">
        <f t="shared" si="3"/>
        <v>View</v>
      </c>
      <c r="J111" t="s">
        <v>47</v>
      </c>
      <c r="K111" t="s">
        <v>49</v>
      </c>
      <c r="L111">
        <v>54811</v>
      </c>
      <c r="M111">
        <v>32.729999999999997</v>
      </c>
      <c r="N111">
        <v>99.52</v>
      </c>
      <c r="P111">
        <v>1</v>
      </c>
      <c r="R111" t="s">
        <v>23</v>
      </c>
      <c r="S111" t="s">
        <v>24</v>
      </c>
      <c r="T111" t="s">
        <v>316</v>
      </c>
    </row>
    <row r="112" spans="1:20" x14ac:dyDescent="0.25">
      <c r="A112">
        <v>11</v>
      </c>
      <c r="B112" t="str">
        <f>HYPERLINK("https://imapinvasives.natureserve.org/imap/services/page/Presence/514206.html", "View")</f>
        <v>View</v>
      </c>
      <c r="C112">
        <v>514206</v>
      </c>
      <c r="D112">
        <v>514206</v>
      </c>
      <c r="E112" t="str">
        <f>HYPERLINK("http://imap3images.s3-website-us-east-1.amazonaws.com/514206/p/photourl2_2017_12_28_lucnuessle_tui9ycg4.jpg", "View")</f>
        <v>View</v>
      </c>
      <c r="F112" t="s">
        <v>47</v>
      </c>
      <c r="G112" t="s">
        <v>48</v>
      </c>
      <c r="H112">
        <v>54811</v>
      </c>
      <c r="I112" t="str">
        <f>HYPERLINK("https://www.inaturalist.org/taxa/82576-Onoclea-sensibilis", "View")</f>
        <v>View</v>
      </c>
      <c r="J112" t="s">
        <v>52</v>
      </c>
      <c r="K112" t="s">
        <v>53</v>
      </c>
      <c r="L112">
        <v>82576</v>
      </c>
      <c r="M112">
        <v>45.99</v>
      </c>
      <c r="N112">
        <v>47.07</v>
      </c>
      <c r="P112">
        <v>0</v>
      </c>
      <c r="R112" t="s">
        <v>29</v>
      </c>
      <c r="S112" t="s">
        <v>28</v>
      </c>
      <c r="T112" t="s">
        <v>317</v>
      </c>
    </row>
    <row r="113" spans="1:20" x14ac:dyDescent="0.25">
      <c r="A113">
        <v>12</v>
      </c>
      <c r="B113" t="str">
        <f>HYPERLINK("https://imapinvasives.natureserve.org/imap/services/page/Presence/1345527.html", "View")</f>
        <v>View</v>
      </c>
      <c r="C113">
        <v>1345527</v>
      </c>
      <c r="D113">
        <v>1361744</v>
      </c>
      <c r="E113" t="str">
        <f>HYPERLINK("http://imap3images.s3-website-us-east-1.amazonaws.com/1361744/p/imap_app_photo_1691534867654.jpg", "View")</f>
        <v>View</v>
      </c>
      <c r="F113" t="s">
        <v>47</v>
      </c>
      <c r="G113" t="s">
        <v>48</v>
      </c>
      <c r="H113">
        <v>54811</v>
      </c>
      <c r="I113" t="str">
        <f>HYPERLINK("https://www.inaturalist.org/taxa/54811-Rhamnus-cathartica", "View")</f>
        <v>View</v>
      </c>
      <c r="J113" t="s">
        <v>47</v>
      </c>
      <c r="K113" t="s">
        <v>49</v>
      </c>
      <c r="L113">
        <v>54811</v>
      </c>
      <c r="M113">
        <v>18.96</v>
      </c>
      <c r="N113">
        <v>99.21</v>
      </c>
      <c r="P113">
        <v>1</v>
      </c>
      <c r="R113" t="s">
        <v>23</v>
      </c>
      <c r="S113" t="s">
        <v>24</v>
      </c>
      <c r="T113" t="s">
        <v>316</v>
      </c>
    </row>
    <row r="114" spans="1:20" x14ac:dyDescent="0.25">
      <c r="A114">
        <v>13</v>
      </c>
      <c r="B114" t="str">
        <f>HYPERLINK("https://imapinvasives.natureserve.org/imap/services/page/Presence/330066.html", "View")</f>
        <v>View</v>
      </c>
      <c r="C114">
        <v>330066</v>
      </c>
      <c r="D114">
        <v>330066</v>
      </c>
      <c r="E114" t="str">
        <f>HYPERLINK("http://imap3images.s3-website-us-east-1.amazonaws.com/330066/p/photourl1_2012_08_06_rebhargrave_vvmmx35l.jpg", "View")</f>
        <v>View</v>
      </c>
      <c r="F114" t="s">
        <v>47</v>
      </c>
      <c r="G114" t="s">
        <v>48</v>
      </c>
      <c r="H114">
        <v>54811</v>
      </c>
      <c r="I114" t="str">
        <f>HYPERLINK("https://www.inaturalist.org/taxa/54811-Rhamnus-cathartica", "View")</f>
        <v>View</v>
      </c>
      <c r="J114" t="s">
        <v>47</v>
      </c>
      <c r="K114" t="s">
        <v>49</v>
      </c>
      <c r="L114">
        <v>54811</v>
      </c>
      <c r="M114">
        <v>12.52</v>
      </c>
      <c r="N114">
        <v>99.77</v>
      </c>
      <c r="P114">
        <v>1</v>
      </c>
      <c r="R114" t="s">
        <v>23</v>
      </c>
      <c r="S114" t="s">
        <v>24</v>
      </c>
      <c r="T114" t="s">
        <v>316</v>
      </c>
    </row>
    <row r="115" spans="1:20" x14ac:dyDescent="0.25">
      <c r="A115">
        <v>14</v>
      </c>
      <c r="B115" t="str">
        <f>HYPERLINK("https://imapinvasives.natureserve.org/imap/services/page/Presence/329393.html", "View")</f>
        <v>View</v>
      </c>
      <c r="C115">
        <v>329393</v>
      </c>
      <c r="D115">
        <v>329393</v>
      </c>
      <c r="E115" t="str">
        <f>HYPERLINK("http://imap3images.s3-website-us-east-1.amazonaws.com/329393/p/NY-313818U_rhamnus_cathartica_closeup_275fonf5k9je5ahnc5z.jpg", "View")</f>
        <v>View</v>
      </c>
      <c r="F115" t="s">
        <v>47</v>
      </c>
      <c r="G115" t="s">
        <v>48</v>
      </c>
      <c r="H115">
        <v>54811</v>
      </c>
      <c r="I115" t="str">
        <f>HYPERLINK("https://www.inaturalist.org/taxa/54811-Rhamnus-cathartica", "View")</f>
        <v>View</v>
      </c>
      <c r="J115" t="s">
        <v>47</v>
      </c>
      <c r="K115" t="s">
        <v>49</v>
      </c>
      <c r="L115">
        <v>54811</v>
      </c>
      <c r="M115">
        <v>58.02</v>
      </c>
      <c r="N115">
        <v>98.27</v>
      </c>
      <c r="P115">
        <v>1</v>
      </c>
      <c r="R115" t="s">
        <v>23</v>
      </c>
      <c r="S115" t="s">
        <v>24</v>
      </c>
      <c r="T115" t="s">
        <v>316</v>
      </c>
    </row>
    <row r="116" spans="1:20" x14ac:dyDescent="0.25">
      <c r="A116">
        <v>15</v>
      </c>
      <c r="B116" t="str">
        <f>HYPERLINK("https://imapinvasives.natureserve.org/imap/services/page/Presence/1021302.html", "View")</f>
        <v>View</v>
      </c>
      <c r="C116">
        <v>1021302</v>
      </c>
      <c r="D116">
        <v>1021836</v>
      </c>
      <c r="E116" t="str">
        <f>HYPERLINK("http://imap3images.s3-website-us-east-1.amazonaws.com/1021836/p/imap_app_photo_1562975320716.jpg", "View")</f>
        <v>View</v>
      </c>
      <c r="F116" t="s">
        <v>47</v>
      </c>
      <c r="G116" t="s">
        <v>48</v>
      </c>
      <c r="H116">
        <v>54811</v>
      </c>
      <c r="I116" t="str">
        <f>HYPERLINK("https://www.inaturalist.org/taxa/54811-Rhamnus-cathartica", "View")</f>
        <v>View</v>
      </c>
      <c r="J116" t="s">
        <v>47</v>
      </c>
      <c r="K116" t="s">
        <v>49</v>
      </c>
      <c r="L116">
        <v>54811</v>
      </c>
      <c r="M116">
        <v>42.17</v>
      </c>
      <c r="N116">
        <v>99.84</v>
      </c>
      <c r="P116">
        <v>1</v>
      </c>
      <c r="R116" t="s">
        <v>23</v>
      </c>
      <c r="S116" t="s">
        <v>24</v>
      </c>
      <c r="T116" t="s">
        <v>316</v>
      </c>
    </row>
    <row r="117" spans="1:20" x14ac:dyDescent="0.25">
      <c r="A117">
        <v>16</v>
      </c>
      <c r="B117" t="str">
        <f>HYPERLINK("https://imapinvasives.natureserve.org/imap/services/page/Presence/1435860.html", "View")</f>
        <v>View</v>
      </c>
      <c r="C117">
        <v>1435860</v>
      </c>
      <c r="D117">
        <v>1449603</v>
      </c>
      <c r="E117" t="str">
        <f>HYPERLINK("http://imap3images.s3-website-us-east-1.amazonaws.com/1449603/p/Photo_1.jpg", "View")</f>
        <v>View</v>
      </c>
      <c r="F117" t="s">
        <v>47</v>
      </c>
      <c r="G117" t="s">
        <v>48</v>
      </c>
      <c r="H117">
        <v>54811</v>
      </c>
      <c r="I117" t="str">
        <f>HYPERLINK("https://www.inaturalist.org/taxa/54835-Prunus-virginiana", "View")</f>
        <v>View</v>
      </c>
      <c r="J117" t="s">
        <v>54</v>
      </c>
      <c r="K117" t="s">
        <v>55</v>
      </c>
      <c r="L117">
        <v>54835</v>
      </c>
      <c r="M117">
        <v>24.22</v>
      </c>
      <c r="N117">
        <v>91.39</v>
      </c>
      <c r="P117">
        <v>0</v>
      </c>
      <c r="R117" t="s">
        <v>27</v>
      </c>
      <c r="S117" t="s">
        <v>24</v>
      </c>
      <c r="T117" t="s">
        <v>316</v>
      </c>
    </row>
    <row r="118" spans="1:20" x14ac:dyDescent="0.25">
      <c r="A118">
        <v>17</v>
      </c>
      <c r="B118" t="str">
        <f>HYPERLINK("https://imapinvasives.natureserve.org/imap/services/page/Presence/1435940.html", "View")</f>
        <v>View</v>
      </c>
      <c r="C118">
        <v>1435940</v>
      </c>
      <c r="D118">
        <v>1449703</v>
      </c>
      <c r="E118" t="str">
        <f>HYPERLINK("http://imap3images.s3-website-us-east-1.amazonaws.com/1449703/p/Photo_1.jpg", "View")</f>
        <v>View</v>
      </c>
      <c r="F118" t="s">
        <v>47</v>
      </c>
      <c r="G118" t="s">
        <v>48</v>
      </c>
      <c r="H118">
        <v>54811</v>
      </c>
      <c r="I118" t="str">
        <f>HYPERLINK("https://www.inaturalist.org/taxa/64540-Celastrus-orbiculatus", "View")</f>
        <v>View</v>
      </c>
      <c r="J118" t="s">
        <v>56</v>
      </c>
      <c r="K118" t="s">
        <v>57</v>
      </c>
      <c r="L118">
        <v>64540</v>
      </c>
      <c r="M118">
        <v>65.88</v>
      </c>
      <c r="N118">
        <v>49.94</v>
      </c>
      <c r="P118">
        <v>0</v>
      </c>
      <c r="R118" t="s">
        <v>29</v>
      </c>
      <c r="S118" t="s">
        <v>28</v>
      </c>
      <c r="T118" t="s">
        <v>317</v>
      </c>
    </row>
    <row r="119" spans="1:20" x14ac:dyDescent="0.25">
      <c r="A119">
        <v>18</v>
      </c>
      <c r="B119" t="str">
        <f>HYPERLINK("https://imapinvasives.natureserve.org/imap/services/page/Presence/1414020.html", "View")</f>
        <v>View</v>
      </c>
      <c r="C119">
        <v>1414020</v>
      </c>
      <c r="D119">
        <v>1427525</v>
      </c>
      <c r="E119" t="str">
        <f>HYPERLINK("http://imap3images.s3-website-us-east-1.amazonaws.com/1427525/p/imap_app_photo_1719861961191.jpg", "View")</f>
        <v>View</v>
      </c>
      <c r="F119" t="s">
        <v>47</v>
      </c>
      <c r="G119" t="s">
        <v>48</v>
      </c>
      <c r="H119">
        <v>54811</v>
      </c>
      <c r="I119" t="str">
        <f t="shared" ref="I119:I124" si="4">HYPERLINK("https://www.inaturalist.org/taxa/54811-Rhamnus-cathartica", "View")</f>
        <v>View</v>
      </c>
      <c r="J119" t="s">
        <v>47</v>
      </c>
      <c r="K119" t="s">
        <v>49</v>
      </c>
      <c r="L119">
        <v>54811</v>
      </c>
      <c r="M119">
        <v>12.82</v>
      </c>
      <c r="N119">
        <v>98.46</v>
      </c>
      <c r="P119">
        <v>1</v>
      </c>
      <c r="R119" t="s">
        <v>23</v>
      </c>
      <c r="S119" t="s">
        <v>24</v>
      </c>
      <c r="T119" t="s">
        <v>316</v>
      </c>
    </row>
    <row r="120" spans="1:20" x14ac:dyDescent="0.25">
      <c r="A120">
        <v>19</v>
      </c>
      <c r="B120" t="str">
        <f>HYPERLINK("https://imapinvasives.natureserve.org/imap/services/page/Presence/1414019.html", "View")</f>
        <v>View</v>
      </c>
      <c r="C120">
        <v>1414019</v>
      </c>
      <c r="D120">
        <v>1427524</v>
      </c>
      <c r="E120" t="str">
        <f>HYPERLINK("http://imap3images.s3-website-us-east-1.amazonaws.com/1427524/p/imap_app_photo_1719861954842.jpg", "View")</f>
        <v>View</v>
      </c>
      <c r="F120" t="s">
        <v>47</v>
      </c>
      <c r="G120" t="s">
        <v>48</v>
      </c>
      <c r="H120">
        <v>54811</v>
      </c>
      <c r="I120" t="str">
        <f t="shared" si="4"/>
        <v>View</v>
      </c>
      <c r="J120" t="s">
        <v>47</v>
      </c>
      <c r="K120" t="s">
        <v>49</v>
      </c>
      <c r="L120">
        <v>54811</v>
      </c>
      <c r="M120">
        <v>12.82</v>
      </c>
      <c r="N120">
        <v>99.41</v>
      </c>
      <c r="P120">
        <v>1</v>
      </c>
      <c r="R120" t="s">
        <v>23</v>
      </c>
      <c r="S120" t="s">
        <v>24</v>
      </c>
      <c r="T120" t="s">
        <v>316</v>
      </c>
    </row>
    <row r="121" spans="1:20" x14ac:dyDescent="0.25">
      <c r="A121">
        <v>20</v>
      </c>
      <c r="B121" t="str">
        <f>HYPERLINK("https://imapinvasives.natureserve.org/imap/services/page/Presence/494781.html", "View")</f>
        <v>View</v>
      </c>
      <c r="C121">
        <v>494781</v>
      </c>
      <c r="D121">
        <v>494781</v>
      </c>
      <c r="E121" t="str">
        <f>HYPERLINK("http://imap3images.s3-website-us-east-1.amazonaws.com/494781/p/photourl1_2016_08_17_sunrehman_0v1rkh6y.jpg", "View")</f>
        <v>View</v>
      </c>
      <c r="F121" t="s">
        <v>47</v>
      </c>
      <c r="G121" t="s">
        <v>48</v>
      </c>
      <c r="H121">
        <v>54811</v>
      </c>
      <c r="I121" t="str">
        <f t="shared" si="4"/>
        <v>View</v>
      </c>
      <c r="J121" t="s">
        <v>47</v>
      </c>
      <c r="K121" t="s">
        <v>49</v>
      </c>
      <c r="L121">
        <v>54811</v>
      </c>
      <c r="M121">
        <v>42.65</v>
      </c>
      <c r="N121">
        <v>97.81</v>
      </c>
      <c r="P121">
        <v>1</v>
      </c>
      <c r="R121" t="s">
        <v>23</v>
      </c>
      <c r="S121" t="s">
        <v>24</v>
      </c>
      <c r="T121" t="s">
        <v>316</v>
      </c>
    </row>
    <row r="122" spans="1:20" x14ac:dyDescent="0.25">
      <c r="A122">
        <v>21</v>
      </c>
      <c r="B122" t="str">
        <f>HYPERLINK("https://imapinvasives.natureserve.org/imap/services/page/Presence/1338075.html", "View")</f>
        <v>View</v>
      </c>
      <c r="C122">
        <v>1338075</v>
      </c>
      <c r="D122">
        <v>1352739</v>
      </c>
      <c r="E122" t="str">
        <f>HYPERLINK("http://imap3images.s3-website-us-east-1.amazonaws.com/1352739/p/imap_app_photo_1688248435851.jpg", "View")</f>
        <v>View</v>
      </c>
      <c r="F122" t="s">
        <v>47</v>
      </c>
      <c r="G122" t="s">
        <v>48</v>
      </c>
      <c r="H122">
        <v>54811</v>
      </c>
      <c r="I122" t="str">
        <f t="shared" si="4"/>
        <v>View</v>
      </c>
      <c r="J122" t="s">
        <v>47</v>
      </c>
      <c r="K122" t="s">
        <v>49</v>
      </c>
      <c r="L122">
        <v>54811</v>
      </c>
      <c r="M122">
        <v>49.35</v>
      </c>
      <c r="N122">
        <v>61.81</v>
      </c>
      <c r="P122">
        <v>1</v>
      </c>
      <c r="R122" t="s">
        <v>23</v>
      </c>
      <c r="S122" t="s">
        <v>33</v>
      </c>
      <c r="T122" t="s">
        <v>317</v>
      </c>
    </row>
    <row r="123" spans="1:20" x14ac:dyDescent="0.25">
      <c r="A123">
        <v>22</v>
      </c>
      <c r="B123" t="str">
        <f>HYPERLINK("https://imapinvasives.natureserve.org/imap/services/page/Presence/1434803.html", "View")</f>
        <v>View</v>
      </c>
      <c r="C123">
        <v>1434803</v>
      </c>
      <c r="D123">
        <v>1448493</v>
      </c>
      <c r="E123" t="str">
        <f>HYPERLINK("http://imap3images.s3-website-us-east-1.amazonaws.com/1448493/p/imap_app_photo_1721176498373.jpg", "View")</f>
        <v>View</v>
      </c>
      <c r="F123" t="s">
        <v>47</v>
      </c>
      <c r="G123" t="s">
        <v>48</v>
      </c>
      <c r="H123">
        <v>54811</v>
      </c>
      <c r="I123" t="str">
        <f t="shared" si="4"/>
        <v>View</v>
      </c>
      <c r="J123" t="s">
        <v>47</v>
      </c>
      <c r="K123" t="s">
        <v>49</v>
      </c>
      <c r="L123">
        <v>54811</v>
      </c>
      <c r="M123">
        <v>38.630000000000003</v>
      </c>
      <c r="N123">
        <v>98.98</v>
      </c>
      <c r="P123">
        <v>1</v>
      </c>
      <c r="R123" t="s">
        <v>23</v>
      </c>
      <c r="S123" t="s">
        <v>24</v>
      </c>
      <c r="T123" t="s">
        <v>316</v>
      </c>
    </row>
    <row r="124" spans="1:20" x14ac:dyDescent="0.25">
      <c r="A124">
        <v>23</v>
      </c>
      <c r="B124" t="str">
        <f>HYPERLINK("https://imapinvasives.natureserve.org/imap/services/page/Presence/1286245.html", "View")</f>
        <v>View</v>
      </c>
      <c r="C124">
        <v>1286245</v>
      </c>
      <c r="D124">
        <v>1295968</v>
      </c>
      <c r="E124" t="str">
        <f>HYPERLINK("http://imap3images.s3-website-us-east-1.amazonaws.com/1295968/p/Photo_1.jpg", "View")</f>
        <v>View</v>
      </c>
      <c r="F124" t="s">
        <v>47</v>
      </c>
      <c r="G124" t="s">
        <v>48</v>
      </c>
      <c r="H124">
        <v>54811</v>
      </c>
      <c r="I124" t="str">
        <f t="shared" si="4"/>
        <v>View</v>
      </c>
      <c r="J124" t="s">
        <v>47</v>
      </c>
      <c r="K124" t="s">
        <v>49</v>
      </c>
      <c r="L124">
        <v>54811</v>
      </c>
      <c r="M124">
        <v>38.630000000000003</v>
      </c>
      <c r="N124">
        <v>95.37</v>
      </c>
      <c r="P124">
        <v>1</v>
      </c>
      <c r="R124" t="s">
        <v>23</v>
      </c>
      <c r="S124" t="s">
        <v>24</v>
      </c>
      <c r="T124" t="s">
        <v>316</v>
      </c>
    </row>
    <row r="125" spans="1:20" x14ac:dyDescent="0.25">
      <c r="A125">
        <v>24</v>
      </c>
      <c r="B125" t="str">
        <f>HYPERLINK("https://imapinvasives.natureserve.org/imap/services/page/Presence/1022438.html", "View")</f>
        <v>View</v>
      </c>
      <c r="C125">
        <v>1022438</v>
      </c>
      <c r="D125">
        <v>1022984</v>
      </c>
      <c r="E125" t="str">
        <f>HYPERLINK("http://imap3images.s3-website-us-east-1.amazonaws.com/1022984/p/imap_app_photo_1563404222780.jpg", "View")</f>
        <v>View</v>
      </c>
      <c r="F125" t="s">
        <v>47</v>
      </c>
      <c r="G125" t="s">
        <v>48</v>
      </c>
      <c r="H125">
        <v>54811</v>
      </c>
      <c r="I125" t="str">
        <f>HYPERLINK("https://www.inaturalist.org/taxa/153208-Ilex-mucronata", "View")</f>
        <v>View</v>
      </c>
      <c r="J125" t="s">
        <v>58</v>
      </c>
      <c r="K125" t="s">
        <v>59</v>
      </c>
      <c r="L125">
        <v>153208</v>
      </c>
      <c r="M125">
        <v>35.86</v>
      </c>
      <c r="N125">
        <v>71.88</v>
      </c>
      <c r="P125">
        <v>0</v>
      </c>
      <c r="R125" t="s">
        <v>40</v>
      </c>
      <c r="S125" t="s">
        <v>33</v>
      </c>
      <c r="T125" t="s">
        <v>317</v>
      </c>
    </row>
    <row r="126" spans="1:20" x14ac:dyDescent="0.25">
      <c r="A126">
        <v>25</v>
      </c>
      <c r="B126" t="str">
        <f>HYPERLINK("https://imapinvasives.natureserve.org/imap/services/page/Presence/1026168.html", "View")</f>
        <v>View</v>
      </c>
      <c r="C126">
        <v>1026168</v>
      </c>
      <c r="D126">
        <v>1027127</v>
      </c>
      <c r="E126" t="str">
        <f>HYPERLINK("http://imap3images.s3-website-us-east-1.amazonaws.com/1027127/p/imap_app_photo_1565865763686.jpg", "View")</f>
        <v>View</v>
      </c>
      <c r="F126" t="s">
        <v>47</v>
      </c>
      <c r="G126" t="s">
        <v>48</v>
      </c>
      <c r="H126">
        <v>54811</v>
      </c>
      <c r="I126" t="str">
        <f t="shared" ref="I126:I131" si="5">HYPERLINK("https://www.inaturalist.org/taxa/54811-Rhamnus-cathartica", "View")</f>
        <v>View</v>
      </c>
      <c r="J126" t="s">
        <v>47</v>
      </c>
      <c r="K126" t="s">
        <v>49</v>
      </c>
      <c r="L126">
        <v>54811</v>
      </c>
      <c r="M126">
        <v>9.1999999999999993</v>
      </c>
      <c r="N126">
        <v>33.68</v>
      </c>
      <c r="P126">
        <v>1</v>
      </c>
      <c r="R126" t="s">
        <v>23</v>
      </c>
      <c r="S126" t="s">
        <v>33</v>
      </c>
      <c r="T126" t="s">
        <v>317</v>
      </c>
    </row>
    <row r="127" spans="1:20" x14ac:dyDescent="0.25">
      <c r="A127">
        <v>26</v>
      </c>
      <c r="B127" t="str">
        <f>HYPERLINK("https://imapinvasives.natureserve.org/imap/services/page/Presence/494698.html", "View")</f>
        <v>View</v>
      </c>
      <c r="C127">
        <v>494698</v>
      </c>
      <c r="D127">
        <v>494698</v>
      </c>
      <c r="E127" t="str">
        <f>HYPERLINK("http://imap3images.s3-website-us-east-1.amazonaws.com/494698/p/photourl1_2016_08_25_aarbarrigar_i4b5tlg5.jpg", "View")</f>
        <v>View</v>
      </c>
      <c r="F127" t="s">
        <v>47</v>
      </c>
      <c r="G127" t="s">
        <v>48</v>
      </c>
      <c r="H127">
        <v>54811</v>
      </c>
      <c r="I127" t="str">
        <f t="shared" si="5"/>
        <v>View</v>
      </c>
      <c r="J127" t="s">
        <v>47</v>
      </c>
      <c r="K127" t="s">
        <v>49</v>
      </c>
      <c r="L127">
        <v>54811</v>
      </c>
      <c r="M127">
        <v>45.21</v>
      </c>
      <c r="N127">
        <v>97.38</v>
      </c>
      <c r="P127">
        <v>1</v>
      </c>
      <c r="R127" t="s">
        <v>23</v>
      </c>
      <c r="S127" t="s">
        <v>24</v>
      </c>
      <c r="T127" t="s">
        <v>316</v>
      </c>
    </row>
    <row r="128" spans="1:20" x14ac:dyDescent="0.25">
      <c r="A128">
        <v>27</v>
      </c>
      <c r="B128" t="str">
        <f>HYPERLINK("https://imapinvasives.natureserve.org/imap/services/page/Presence/494696.html", "View")</f>
        <v>View</v>
      </c>
      <c r="C128">
        <v>494696</v>
      </c>
      <c r="D128">
        <v>494696</v>
      </c>
      <c r="E128" t="str">
        <f>HYPERLINK("http://imap3images.s3-website-us-east-1.amazonaws.com/494696/p/photourl1_2016_08_25_aarbarrigar_jk9c9qn1.jpg", "View")</f>
        <v>View</v>
      </c>
      <c r="F128" t="s">
        <v>47</v>
      </c>
      <c r="G128" t="s">
        <v>48</v>
      </c>
      <c r="H128">
        <v>54811</v>
      </c>
      <c r="I128" t="str">
        <f t="shared" si="5"/>
        <v>View</v>
      </c>
      <c r="J128" t="s">
        <v>47</v>
      </c>
      <c r="K128" t="s">
        <v>49</v>
      </c>
      <c r="L128">
        <v>54811</v>
      </c>
      <c r="M128">
        <v>45.21</v>
      </c>
      <c r="N128">
        <v>73.75</v>
      </c>
      <c r="P128">
        <v>1</v>
      </c>
      <c r="R128" t="s">
        <v>23</v>
      </c>
      <c r="S128" t="s">
        <v>24</v>
      </c>
      <c r="T128" t="s">
        <v>316</v>
      </c>
    </row>
    <row r="129" spans="1:20" x14ac:dyDescent="0.25">
      <c r="A129">
        <v>28</v>
      </c>
      <c r="B129" t="str">
        <f>HYPERLINK("https://imapinvasives.natureserve.org/imap/services/page/Presence/1016568.html", "View")</f>
        <v>View</v>
      </c>
      <c r="C129">
        <v>1016568</v>
      </c>
      <c r="D129">
        <v>1017014</v>
      </c>
      <c r="E129" t="str">
        <f>HYPERLINK("http://imap3images.s3-website-us-east-1.amazonaws.com/1017014/p/imap_app_photo_1560265621883.jpg", "View")</f>
        <v>View</v>
      </c>
      <c r="F129" t="s">
        <v>47</v>
      </c>
      <c r="G129" t="s">
        <v>48</v>
      </c>
      <c r="H129">
        <v>54811</v>
      </c>
      <c r="I129" t="str">
        <f t="shared" si="5"/>
        <v>View</v>
      </c>
      <c r="J129" t="s">
        <v>47</v>
      </c>
      <c r="K129" t="s">
        <v>49</v>
      </c>
      <c r="L129">
        <v>54811</v>
      </c>
      <c r="M129">
        <v>12.65</v>
      </c>
      <c r="N129">
        <v>46.19</v>
      </c>
      <c r="P129">
        <v>1</v>
      </c>
      <c r="R129" t="s">
        <v>23</v>
      </c>
      <c r="S129" t="s">
        <v>34</v>
      </c>
      <c r="T129" t="s">
        <v>317</v>
      </c>
    </row>
    <row r="130" spans="1:20" x14ac:dyDescent="0.25">
      <c r="A130">
        <v>29</v>
      </c>
      <c r="B130" t="str">
        <f>HYPERLINK("https://imapinvasives.natureserve.org/imap/services/page/Presence/419538.html", "View")</f>
        <v>View</v>
      </c>
      <c r="C130">
        <v>419538</v>
      </c>
      <c r="D130">
        <v>419538</v>
      </c>
      <c r="E130" t="str">
        <f>HYPERLINK("http://imap3images.s3-website-us-east-1.amazonaws.com/419538/p/photourl1_2014_09_02_jerkrajna_qauer2hw.jpg", "View")</f>
        <v>View</v>
      </c>
      <c r="F130" t="s">
        <v>47</v>
      </c>
      <c r="G130" t="s">
        <v>48</v>
      </c>
      <c r="H130">
        <v>54811</v>
      </c>
      <c r="I130" t="str">
        <f t="shared" si="5"/>
        <v>View</v>
      </c>
      <c r="J130" t="s">
        <v>47</v>
      </c>
      <c r="K130" t="s">
        <v>49</v>
      </c>
      <c r="L130">
        <v>54811</v>
      </c>
      <c r="M130">
        <v>45.05</v>
      </c>
      <c r="N130">
        <v>97.97</v>
      </c>
      <c r="P130">
        <v>1</v>
      </c>
      <c r="R130" t="s">
        <v>23</v>
      </c>
      <c r="S130" t="s">
        <v>24</v>
      </c>
      <c r="T130" t="s">
        <v>316</v>
      </c>
    </row>
    <row r="131" spans="1:20" x14ac:dyDescent="0.25">
      <c r="A131">
        <v>30</v>
      </c>
      <c r="B131" t="str">
        <f>HYPERLINK("https://imapinvasives.natureserve.org/imap/services/page/Presence/1344119.html", "View")</f>
        <v>View</v>
      </c>
      <c r="C131">
        <v>1344119</v>
      </c>
      <c r="D131">
        <v>1359764</v>
      </c>
      <c r="E131" t="str">
        <f>HYPERLINK("http://imap3images.s3-website-us-east-1.amazonaws.com/1359764/p/imap_app_photo_1690847706364.jpg", "View")</f>
        <v>View</v>
      </c>
      <c r="F131" t="s">
        <v>47</v>
      </c>
      <c r="G131" t="s">
        <v>48</v>
      </c>
      <c r="H131">
        <v>54811</v>
      </c>
      <c r="I131" t="str">
        <f t="shared" si="5"/>
        <v>View</v>
      </c>
      <c r="J131" t="s">
        <v>47</v>
      </c>
      <c r="K131" t="s">
        <v>49</v>
      </c>
      <c r="L131">
        <v>54811</v>
      </c>
      <c r="M131">
        <v>45.05</v>
      </c>
      <c r="N131">
        <v>98.33</v>
      </c>
      <c r="P131">
        <v>1</v>
      </c>
      <c r="R131" t="s">
        <v>23</v>
      </c>
      <c r="S131" t="s">
        <v>24</v>
      </c>
      <c r="T131" t="s">
        <v>316</v>
      </c>
    </row>
    <row r="132" spans="1:20" x14ac:dyDescent="0.25">
      <c r="A132">
        <v>31</v>
      </c>
      <c r="B132" t="str">
        <f>HYPERLINK("https://imapinvasives.natureserve.org/imap/services/page/Presence/1022617.html", "View")</f>
        <v>View</v>
      </c>
      <c r="C132">
        <v>1022617</v>
      </c>
      <c r="D132">
        <v>1023159</v>
      </c>
      <c r="E132" t="str">
        <f>HYPERLINK("http://imap3images.s3-website-us-east-1.amazonaws.com/1023159/p/Photo2-20180524-155121.jpg", "View")</f>
        <v>View</v>
      </c>
      <c r="F132" t="s">
        <v>47</v>
      </c>
      <c r="G132" t="s">
        <v>48</v>
      </c>
      <c r="H132">
        <v>54811</v>
      </c>
      <c r="I132" t="str">
        <f>HYPERLINK("https://www.inaturalist.org/taxa/49884-Betula-populifolia", "View")</f>
        <v>View</v>
      </c>
      <c r="J132" t="s">
        <v>60</v>
      </c>
      <c r="K132" t="s">
        <v>61</v>
      </c>
      <c r="L132">
        <v>49884</v>
      </c>
      <c r="M132">
        <v>26.36</v>
      </c>
      <c r="N132">
        <v>20.420000000000002</v>
      </c>
      <c r="P132">
        <v>0</v>
      </c>
      <c r="R132" t="s">
        <v>40</v>
      </c>
      <c r="S132" t="s">
        <v>33</v>
      </c>
      <c r="T132" t="s">
        <v>317</v>
      </c>
    </row>
    <row r="133" spans="1:20" x14ac:dyDescent="0.25">
      <c r="A133">
        <v>32</v>
      </c>
      <c r="B133" t="str">
        <f>HYPERLINK("https://imapinvasives.natureserve.org/imap/services/page/Presence/1033476.html", "View")</f>
        <v>View</v>
      </c>
      <c r="C133">
        <v>1033476</v>
      </c>
      <c r="D133">
        <v>1035106</v>
      </c>
      <c r="E133" t="str">
        <f>HYPERLINK("http://imap3images.s3-website-us-east-1.amazonaws.com/1035106/p/imap_app_photo_1571235572684.jpg", "View")</f>
        <v>View</v>
      </c>
      <c r="F133" t="s">
        <v>47</v>
      </c>
      <c r="G133" t="s">
        <v>48</v>
      </c>
      <c r="H133">
        <v>54811</v>
      </c>
      <c r="I133" t="str">
        <f>HYPERLINK("https://www.inaturalist.org/taxa/54811-Rhamnus-cathartica", "View")</f>
        <v>View</v>
      </c>
      <c r="J133" t="s">
        <v>47</v>
      </c>
      <c r="K133" t="s">
        <v>49</v>
      </c>
      <c r="L133">
        <v>54811</v>
      </c>
      <c r="M133">
        <v>35.619999999999997</v>
      </c>
      <c r="N133">
        <v>94.97</v>
      </c>
      <c r="P133">
        <v>1</v>
      </c>
      <c r="R133" t="s">
        <v>23</v>
      </c>
      <c r="S133" t="s">
        <v>24</v>
      </c>
      <c r="T133" t="s">
        <v>316</v>
      </c>
    </row>
    <row r="134" spans="1:20" x14ac:dyDescent="0.25">
      <c r="A134">
        <v>33</v>
      </c>
      <c r="B134" t="str">
        <f>HYPERLINK("https://imapinvasives.natureserve.org/imap/services/page/Presence/475670.html", "View")</f>
        <v>View</v>
      </c>
      <c r="C134">
        <v>475670</v>
      </c>
      <c r="D134">
        <v>475670</v>
      </c>
      <c r="E134" t="str">
        <f>HYPERLINK("http://imap3images.s3-website-us-east-1.amazonaws.com/475670/p/photourl1_2016_03_22_bralewis_k2n4ceoq.jpg", "View")</f>
        <v>View</v>
      </c>
      <c r="F134" t="s">
        <v>47</v>
      </c>
      <c r="G134" t="s">
        <v>48</v>
      </c>
      <c r="H134">
        <v>54811</v>
      </c>
      <c r="I134" t="str">
        <f>HYPERLINK("https://www.inaturalist.org/taxa/58721-Larix-laricina", "View")</f>
        <v>View</v>
      </c>
      <c r="J134" t="s">
        <v>62</v>
      </c>
      <c r="K134" t="s">
        <v>63</v>
      </c>
      <c r="L134">
        <v>58721</v>
      </c>
      <c r="M134">
        <v>10.98</v>
      </c>
      <c r="N134">
        <v>16.8</v>
      </c>
      <c r="P134">
        <v>0</v>
      </c>
      <c r="R134" t="s">
        <v>29</v>
      </c>
      <c r="S134" t="s">
        <v>64</v>
      </c>
      <c r="T134" t="s">
        <v>317</v>
      </c>
    </row>
    <row r="135" spans="1:20" x14ac:dyDescent="0.25">
      <c r="A135">
        <v>34</v>
      </c>
      <c r="B135" t="str">
        <f>HYPERLINK("https://imapinvasives.natureserve.org/imap/services/page/Presence/1019081.html", "View")</f>
        <v>View</v>
      </c>
      <c r="C135">
        <v>1019081</v>
      </c>
      <c r="D135">
        <v>1019606</v>
      </c>
      <c r="E135" t="str">
        <f>HYPERLINK("http://imap3images.s3-website-us-east-1.amazonaws.com/1019606/p/imap_app_photo_1562161859580.jpg", "View")</f>
        <v>View</v>
      </c>
      <c r="F135" t="s">
        <v>47</v>
      </c>
      <c r="G135" t="s">
        <v>48</v>
      </c>
      <c r="H135">
        <v>54811</v>
      </c>
      <c r="I135" t="str">
        <f t="shared" ref="I135:I149" si="6">HYPERLINK("https://www.inaturalist.org/taxa/54811-Rhamnus-cathartica", "View")</f>
        <v>View</v>
      </c>
      <c r="J135" t="s">
        <v>47</v>
      </c>
      <c r="K135" t="s">
        <v>49</v>
      </c>
      <c r="L135">
        <v>54811</v>
      </c>
      <c r="M135">
        <v>19.760000000000002</v>
      </c>
      <c r="N135">
        <v>99.78</v>
      </c>
      <c r="P135">
        <v>1</v>
      </c>
      <c r="R135" t="s">
        <v>23</v>
      </c>
      <c r="S135" t="s">
        <v>24</v>
      </c>
      <c r="T135" t="s">
        <v>316</v>
      </c>
    </row>
    <row r="136" spans="1:20" x14ac:dyDescent="0.25">
      <c r="A136">
        <v>35</v>
      </c>
      <c r="B136" t="str">
        <f>HYPERLINK("https://imapinvasives.natureserve.org/imap/services/page/Presence/494093.html", "View")</f>
        <v>View</v>
      </c>
      <c r="C136">
        <v>494093</v>
      </c>
      <c r="D136">
        <v>494093</v>
      </c>
      <c r="E136" t="str">
        <f>HYPERLINK("http://imap3images.s3-website-us-east-1.amazonaws.com/494093/p/photourl1_2016_08_03_julgrinstead_lwge7e79.jpg", "View")</f>
        <v>View</v>
      </c>
      <c r="F136" t="s">
        <v>47</v>
      </c>
      <c r="G136" t="s">
        <v>48</v>
      </c>
      <c r="H136">
        <v>54811</v>
      </c>
      <c r="I136" t="str">
        <f t="shared" si="6"/>
        <v>View</v>
      </c>
      <c r="J136" t="s">
        <v>47</v>
      </c>
      <c r="K136" t="s">
        <v>49</v>
      </c>
      <c r="L136">
        <v>54811</v>
      </c>
      <c r="M136">
        <v>46.54</v>
      </c>
      <c r="N136">
        <v>69.010000000000005</v>
      </c>
      <c r="P136">
        <v>1</v>
      </c>
      <c r="R136" t="s">
        <v>23</v>
      </c>
      <c r="S136" t="s">
        <v>33</v>
      </c>
      <c r="T136" t="s">
        <v>317</v>
      </c>
    </row>
    <row r="137" spans="1:20" x14ac:dyDescent="0.25">
      <c r="A137">
        <v>36</v>
      </c>
      <c r="B137" t="str">
        <f>HYPERLINK("https://imapinvasives.natureserve.org/imap/services/page/Presence/1180038.html", "View")</f>
        <v>View</v>
      </c>
      <c r="C137">
        <v>1180038</v>
      </c>
      <c r="D137">
        <v>1187883</v>
      </c>
      <c r="E137" t="str">
        <f>HYPERLINK("http://imap3images.s3-website-us-east-1.amazonaws.com/1187883/p/imap_app_photo_1636309781057.jpg", "View")</f>
        <v>View</v>
      </c>
      <c r="F137" t="s">
        <v>47</v>
      </c>
      <c r="G137" t="s">
        <v>48</v>
      </c>
      <c r="H137">
        <v>54811</v>
      </c>
      <c r="I137" t="str">
        <f t="shared" si="6"/>
        <v>View</v>
      </c>
      <c r="J137" t="s">
        <v>47</v>
      </c>
      <c r="K137" t="s">
        <v>49</v>
      </c>
      <c r="L137">
        <v>54811</v>
      </c>
      <c r="M137">
        <v>46.54</v>
      </c>
      <c r="N137">
        <v>98.2</v>
      </c>
      <c r="P137">
        <v>1</v>
      </c>
      <c r="R137" t="s">
        <v>23</v>
      </c>
      <c r="S137" t="s">
        <v>34</v>
      </c>
      <c r="T137" t="s">
        <v>317</v>
      </c>
    </row>
    <row r="138" spans="1:20" x14ac:dyDescent="0.25">
      <c r="A138">
        <v>37</v>
      </c>
      <c r="B138" t="str">
        <f>HYPERLINK("https://imapinvasives.natureserve.org/imap/services/page/Presence/1061490.html", "View")</f>
        <v>View</v>
      </c>
      <c r="C138">
        <v>1061490</v>
      </c>
      <c r="D138">
        <v>1066029</v>
      </c>
      <c r="E138" t="str">
        <f>HYPERLINK("http://imap3images.s3-website-us-east-1.amazonaws.com/1066029/p/imap_app_photo_1596486033294.jpg", "View")</f>
        <v>View</v>
      </c>
      <c r="F138" t="s">
        <v>47</v>
      </c>
      <c r="G138" t="s">
        <v>48</v>
      </c>
      <c r="H138">
        <v>54811</v>
      </c>
      <c r="I138" t="str">
        <f t="shared" si="6"/>
        <v>View</v>
      </c>
      <c r="J138" t="s">
        <v>47</v>
      </c>
      <c r="K138" t="s">
        <v>49</v>
      </c>
      <c r="L138">
        <v>54811</v>
      </c>
      <c r="M138">
        <v>15.95</v>
      </c>
      <c r="N138">
        <v>98.1</v>
      </c>
      <c r="P138">
        <v>1</v>
      </c>
      <c r="R138" t="s">
        <v>23</v>
      </c>
      <c r="S138" t="s">
        <v>24</v>
      </c>
      <c r="T138" t="s">
        <v>316</v>
      </c>
    </row>
    <row r="139" spans="1:20" x14ac:dyDescent="0.25">
      <c r="A139">
        <v>38</v>
      </c>
      <c r="B139" t="str">
        <f>HYPERLINK("https://imapinvasives.natureserve.org/imap/services/page/Presence/1349874.html", "View")</f>
        <v>View</v>
      </c>
      <c r="C139">
        <v>1349874</v>
      </c>
      <c r="D139">
        <v>1366832</v>
      </c>
      <c r="E139" t="str">
        <f>HYPERLINK("http://imap3images.s3-website-us-east-1.amazonaws.com/1366832/p/Photo_1.jpg", "View")</f>
        <v>View</v>
      </c>
      <c r="F139" t="s">
        <v>47</v>
      </c>
      <c r="G139" t="s">
        <v>48</v>
      </c>
      <c r="H139">
        <v>54811</v>
      </c>
      <c r="I139" t="str">
        <f t="shared" si="6"/>
        <v>View</v>
      </c>
      <c r="J139" t="s">
        <v>47</v>
      </c>
      <c r="K139" t="s">
        <v>49</v>
      </c>
      <c r="L139">
        <v>54811</v>
      </c>
      <c r="M139">
        <v>29.01</v>
      </c>
      <c r="N139">
        <v>99.56</v>
      </c>
      <c r="P139">
        <v>1</v>
      </c>
      <c r="R139" t="s">
        <v>23</v>
      </c>
      <c r="S139" t="s">
        <v>24</v>
      </c>
      <c r="T139" t="s">
        <v>316</v>
      </c>
    </row>
    <row r="140" spans="1:20" x14ac:dyDescent="0.25">
      <c r="A140">
        <v>39</v>
      </c>
      <c r="B140" t="str">
        <f>HYPERLINK("https://imapinvasives.natureserve.org/imap/services/page/Presence/1164258.html", "View")</f>
        <v>View</v>
      </c>
      <c r="C140">
        <v>1164258</v>
      </c>
      <c r="D140">
        <v>1171489</v>
      </c>
      <c r="E140" t="str">
        <f>HYPERLINK("http://imap3images.s3-website-us-east-1.amazonaws.com/1171489/p/imap_app_photo_1632236829348.jpg", "View")</f>
        <v>View</v>
      </c>
      <c r="F140" t="s">
        <v>47</v>
      </c>
      <c r="G140" t="s">
        <v>48</v>
      </c>
      <c r="H140">
        <v>54811</v>
      </c>
      <c r="I140" t="str">
        <f t="shared" si="6"/>
        <v>View</v>
      </c>
      <c r="J140" t="s">
        <v>47</v>
      </c>
      <c r="K140" t="s">
        <v>49</v>
      </c>
      <c r="L140">
        <v>54811</v>
      </c>
      <c r="M140">
        <v>18.02</v>
      </c>
      <c r="N140">
        <v>75.84</v>
      </c>
      <c r="P140">
        <v>1</v>
      </c>
      <c r="R140" t="s">
        <v>23</v>
      </c>
      <c r="S140" t="s">
        <v>39</v>
      </c>
      <c r="T140" t="s">
        <v>317</v>
      </c>
    </row>
    <row r="141" spans="1:20" x14ac:dyDescent="0.25">
      <c r="A141">
        <v>40</v>
      </c>
      <c r="B141" t="str">
        <f>HYPERLINK("https://imapinvasives.natureserve.org/imap/services/page/Presence/524552.html", "View")</f>
        <v>View</v>
      </c>
      <c r="C141">
        <v>524552</v>
      </c>
      <c r="D141">
        <v>524552</v>
      </c>
      <c r="E141" t="str">
        <f>HYPERLINK("http://imap3images.s3-website-us-east-1.amazonaws.com/524552/p/photourl1_2018_02_11_jaryoung_mj4jxl8f.jpg", "View")</f>
        <v>View</v>
      </c>
      <c r="F141" t="s">
        <v>47</v>
      </c>
      <c r="G141" t="s">
        <v>48</v>
      </c>
      <c r="H141">
        <v>54811</v>
      </c>
      <c r="I141" t="str">
        <f t="shared" si="6"/>
        <v>View</v>
      </c>
      <c r="J141" t="s">
        <v>47</v>
      </c>
      <c r="K141" t="s">
        <v>49</v>
      </c>
      <c r="L141">
        <v>54811</v>
      </c>
      <c r="M141">
        <v>32.18</v>
      </c>
      <c r="N141">
        <v>84.75</v>
      </c>
      <c r="P141">
        <v>1</v>
      </c>
      <c r="R141" t="s">
        <v>23</v>
      </c>
      <c r="S141" t="s">
        <v>24</v>
      </c>
      <c r="T141" t="s">
        <v>316</v>
      </c>
    </row>
    <row r="142" spans="1:20" x14ac:dyDescent="0.25">
      <c r="A142">
        <v>41</v>
      </c>
      <c r="B142" t="str">
        <f>HYPERLINK("https://imapinvasives.natureserve.org/imap/services/page/Presence/1049803.html", "View")</f>
        <v>View</v>
      </c>
      <c r="C142">
        <v>1049803</v>
      </c>
      <c r="D142">
        <v>1053834</v>
      </c>
      <c r="E142" t="str">
        <f>HYPERLINK("http://imap3images.s3-website-us-east-1.amazonaws.com/1053834/p/imap_app_photo_1591980731126.jpg", "View")</f>
        <v>View</v>
      </c>
      <c r="F142" t="s">
        <v>47</v>
      </c>
      <c r="G142" t="s">
        <v>48</v>
      </c>
      <c r="H142">
        <v>54811</v>
      </c>
      <c r="I142" t="str">
        <f t="shared" si="6"/>
        <v>View</v>
      </c>
      <c r="J142" t="s">
        <v>47</v>
      </c>
      <c r="K142" t="s">
        <v>49</v>
      </c>
      <c r="L142">
        <v>54811</v>
      </c>
      <c r="M142">
        <v>12.82</v>
      </c>
      <c r="N142">
        <v>98.87</v>
      </c>
      <c r="P142">
        <v>1</v>
      </c>
      <c r="R142" t="s">
        <v>23</v>
      </c>
      <c r="S142" t="s">
        <v>24</v>
      </c>
      <c r="T142" t="s">
        <v>316</v>
      </c>
    </row>
    <row r="143" spans="1:20" x14ac:dyDescent="0.25">
      <c r="A143">
        <v>42</v>
      </c>
      <c r="B143" t="str">
        <f>HYPERLINK("https://imapinvasives.natureserve.org/imap/services/page/Presence/526045.html", "View")</f>
        <v>View</v>
      </c>
      <c r="C143">
        <v>526045</v>
      </c>
      <c r="D143">
        <v>526045</v>
      </c>
      <c r="E143" t="str">
        <f>HYPERLINK("http://imap3images.s3-website-us-east-1.amazonaws.com/526045/p/photourl1_2018_06_02_keeporter_bv5nyyab.jpg", "View")</f>
        <v>View</v>
      </c>
      <c r="F143" t="s">
        <v>47</v>
      </c>
      <c r="G143" t="s">
        <v>48</v>
      </c>
      <c r="H143">
        <v>54811</v>
      </c>
      <c r="I143" t="str">
        <f t="shared" si="6"/>
        <v>View</v>
      </c>
      <c r="J143" t="s">
        <v>47</v>
      </c>
      <c r="K143" t="s">
        <v>49</v>
      </c>
      <c r="L143">
        <v>54811</v>
      </c>
      <c r="M143">
        <v>42.43</v>
      </c>
      <c r="N143">
        <v>99.7</v>
      </c>
      <c r="P143">
        <v>1</v>
      </c>
      <c r="R143" t="s">
        <v>23</v>
      </c>
      <c r="S143" t="s">
        <v>24</v>
      </c>
      <c r="T143" t="s">
        <v>316</v>
      </c>
    </row>
    <row r="144" spans="1:20" x14ac:dyDescent="0.25">
      <c r="A144">
        <v>43</v>
      </c>
      <c r="B144" t="str">
        <f>HYPERLINK("https://imapinvasives.natureserve.org/imap/services/page/Presence/425426.html", "View")</f>
        <v>View</v>
      </c>
      <c r="C144">
        <v>425426</v>
      </c>
      <c r="D144">
        <v>425426</v>
      </c>
      <c r="E144" t="str">
        <f>HYPERLINK("http://imap3images.s3-website-us-east-1.amazonaws.com/425426/p/photourl1_2014_11_23_amywestfall_anus14di.jpg", "View")</f>
        <v>View</v>
      </c>
      <c r="F144" t="s">
        <v>47</v>
      </c>
      <c r="G144" t="s">
        <v>48</v>
      </c>
      <c r="H144">
        <v>54811</v>
      </c>
      <c r="I144" t="str">
        <f t="shared" si="6"/>
        <v>View</v>
      </c>
      <c r="J144" t="s">
        <v>47</v>
      </c>
      <c r="K144" t="s">
        <v>49</v>
      </c>
      <c r="L144">
        <v>54811</v>
      </c>
      <c r="M144">
        <v>42.43</v>
      </c>
      <c r="N144">
        <v>96.9</v>
      </c>
      <c r="P144">
        <v>1</v>
      </c>
      <c r="R144" t="s">
        <v>23</v>
      </c>
      <c r="S144" t="s">
        <v>24</v>
      </c>
      <c r="T144" t="s">
        <v>316</v>
      </c>
    </row>
    <row r="145" spans="1:20" x14ac:dyDescent="0.25">
      <c r="A145">
        <v>44</v>
      </c>
      <c r="B145" t="str">
        <f>HYPERLINK("https://imapinvasives.natureserve.org/imap/services/page/Presence/1341860.html", "View")</f>
        <v>View</v>
      </c>
      <c r="C145">
        <v>1341860</v>
      </c>
      <c r="D145">
        <v>1357281</v>
      </c>
      <c r="E145" t="str">
        <f>HYPERLINK("http://imap3images.s3-website-us-east-1.amazonaws.com/1357281/p/imap_app_photo_1690230420323.jpg", "View")</f>
        <v>View</v>
      </c>
      <c r="F145" t="s">
        <v>47</v>
      </c>
      <c r="G145" t="s">
        <v>48</v>
      </c>
      <c r="H145">
        <v>54811</v>
      </c>
      <c r="I145" t="str">
        <f t="shared" si="6"/>
        <v>View</v>
      </c>
      <c r="J145" t="s">
        <v>47</v>
      </c>
      <c r="K145" t="s">
        <v>49</v>
      </c>
      <c r="L145">
        <v>54811</v>
      </c>
      <c r="M145">
        <v>26.22</v>
      </c>
      <c r="N145">
        <v>99.76</v>
      </c>
      <c r="P145">
        <v>1</v>
      </c>
      <c r="R145" t="s">
        <v>23</v>
      </c>
      <c r="S145" t="s">
        <v>24</v>
      </c>
      <c r="T145" t="s">
        <v>316</v>
      </c>
    </row>
    <row r="146" spans="1:20" x14ac:dyDescent="0.25">
      <c r="A146">
        <v>45</v>
      </c>
      <c r="B146" t="str">
        <f>HYPERLINK("https://imapinvasives.natureserve.org/imap/services/page/Presence/1057599.html", "View")</f>
        <v>View</v>
      </c>
      <c r="C146">
        <v>1057599</v>
      </c>
      <c r="D146">
        <v>1062119</v>
      </c>
      <c r="E146" t="str">
        <f>HYPERLINK("http://imap3images.s3-website-us-east-1.amazonaws.com/1062119/p/imap_app_photo_1595453709888.jpg", "View")</f>
        <v>View</v>
      </c>
      <c r="F146" t="s">
        <v>47</v>
      </c>
      <c r="G146" t="s">
        <v>48</v>
      </c>
      <c r="H146">
        <v>54811</v>
      </c>
      <c r="I146" t="str">
        <f t="shared" si="6"/>
        <v>View</v>
      </c>
      <c r="J146" t="s">
        <v>47</v>
      </c>
      <c r="K146" t="s">
        <v>49</v>
      </c>
      <c r="L146">
        <v>54811</v>
      </c>
      <c r="M146">
        <v>26.22</v>
      </c>
      <c r="N146">
        <v>99.69</v>
      </c>
      <c r="P146">
        <v>1</v>
      </c>
      <c r="R146" t="s">
        <v>23</v>
      </c>
      <c r="S146" t="s">
        <v>24</v>
      </c>
      <c r="T146" t="s">
        <v>316</v>
      </c>
    </row>
    <row r="147" spans="1:20" x14ac:dyDescent="0.25">
      <c r="A147">
        <v>46</v>
      </c>
      <c r="B147" t="str">
        <f>HYPERLINK("https://imapinvasives.natureserve.org/imap/services/page/Presence/1345399.html", "View")</f>
        <v>View</v>
      </c>
      <c r="C147">
        <v>1345399</v>
      </c>
      <c r="D147">
        <v>1361609</v>
      </c>
      <c r="E147" t="str">
        <f>HYPERLINK("http://imap3images.s3-website-us-east-1.amazonaws.com/1361609/p/imap_app_photo_1691434722535.jpg", "View")</f>
        <v>View</v>
      </c>
      <c r="F147" t="s">
        <v>47</v>
      </c>
      <c r="G147" t="s">
        <v>48</v>
      </c>
      <c r="H147">
        <v>54811</v>
      </c>
      <c r="I147" t="str">
        <f t="shared" si="6"/>
        <v>View</v>
      </c>
      <c r="J147" t="s">
        <v>47</v>
      </c>
      <c r="K147" t="s">
        <v>49</v>
      </c>
      <c r="L147">
        <v>54811</v>
      </c>
      <c r="M147">
        <v>48.14</v>
      </c>
      <c r="N147">
        <v>97.31</v>
      </c>
      <c r="P147">
        <v>1</v>
      </c>
      <c r="R147" t="s">
        <v>23</v>
      </c>
      <c r="S147" t="s">
        <v>24</v>
      </c>
      <c r="T147" t="s">
        <v>316</v>
      </c>
    </row>
    <row r="148" spans="1:20" x14ac:dyDescent="0.25">
      <c r="A148">
        <v>47</v>
      </c>
      <c r="B148" t="str">
        <f>HYPERLINK("https://imapinvasives.natureserve.org/imap/services/page/Presence/418889.html", "View")</f>
        <v>View</v>
      </c>
      <c r="C148">
        <v>418889</v>
      </c>
      <c r="D148">
        <v>418889</v>
      </c>
      <c r="E148" t="str">
        <f>HYPERLINK("http://imap3images.s3-website-us-east-1.amazonaws.com/418889/p/photourl2_2014_08_07_andstadler_6cicypar.jpg", "View")</f>
        <v>View</v>
      </c>
      <c r="F148" t="s">
        <v>47</v>
      </c>
      <c r="G148" t="s">
        <v>48</v>
      </c>
      <c r="H148">
        <v>54811</v>
      </c>
      <c r="I148" t="str">
        <f t="shared" si="6"/>
        <v>View</v>
      </c>
      <c r="J148" t="s">
        <v>47</v>
      </c>
      <c r="K148" t="s">
        <v>49</v>
      </c>
      <c r="L148">
        <v>54811</v>
      </c>
      <c r="M148">
        <v>45.23</v>
      </c>
      <c r="N148">
        <v>22.33</v>
      </c>
      <c r="P148">
        <v>1</v>
      </c>
      <c r="R148" t="s">
        <v>23</v>
      </c>
      <c r="S148" t="s">
        <v>33</v>
      </c>
      <c r="T148" t="s">
        <v>317</v>
      </c>
    </row>
    <row r="149" spans="1:20" x14ac:dyDescent="0.25">
      <c r="A149">
        <v>48</v>
      </c>
      <c r="B149" t="str">
        <f>HYPERLINK("https://imapinvasives.natureserve.org/imap/services/page/Presence/1056871.html", "View")</f>
        <v>View</v>
      </c>
      <c r="C149">
        <v>1056871</v>
      </c>
      <c r="D149">
        <v>1061372</v>
      </c>
      <c r="E149" t="str">
        <f>HYPERLINK("http://imap3images.s3-website-us-east-1.amazonaws.com/1061372/p/imap_app_photo_1595023745384.jpg", "View")</f>
        <v>View</v>
      </c>
      <c r="F149" t="s">
        <v>47</v>
      </c>
      <c r="G149" t="s">
        <v>48</v>
      </c>
      <c r="H149">
        <v>54811</v>
      </c>
      <c r="I149" t="str">
        <f t="shared" si="6"/>
        <v>View</v>
      </c>
      <c r="J149" t="s">
        <v>47</v>
      </c>
      <c r="K149" t="s">
        <v>49</v>
      </c>
      <c r="L149">
        <v>54811</v>
      </c>
      <c r="M149">
        <v>32.18</v>
      </c>
      <c r="N149">
        <v>96.99</v>
      </c>
      <c r="P149">
        <v>1</v>
      </c>
      <c r="R149" t="s">
        <v>23</v>
      </c>
      <c r="S149" t="s">
        <v>24</v>
      </c>
      <c r="T149" t="s">
        <v>316</v>
      </c>
    </row>
    <row r="150" spans="1:20" x14ac:dyDescent="0.25">
      <c r="A150">
        <v>49</v>
      </c>
      <c r="B150" t="str">
        <f>HYPERLINK("https://imapinvasives.natureserve.org/imap/services/page/Presence/475678.html", "View")</f>
        <v>View</v>
      </c>
      <c r="C150">
        <v>475678</v>
      </c>
      <c r="D150">
        <v>475678</v>
      </c>
      <c r="E150" t="str">
        <f>HYPERLINK("http://imap3images.s3-website-us-east-1.amazonaws.com/475678/p/photourl1_2016_03_23_wilbridge_mkwy7tjq.jpg", "View")</f>
        <v>View</v>
      </c>
      <c r="F150" t="s">
        <v>47</v>
      </c>
      <c r="G150" t="s">
        <v>48</v>
      </c>
      <c r="H150">
        <v>54811</v>
      </c>
      <c r="I150" t="str">
        <f>HYPERLINK("https://www.inaturalist.org/taxa/75377-Alnus-incana", "View")</f>
        <v>View</v>
      </c>
      <c r="J150" t="s">
        <v>65</v>
      </c>
      <c r="K150" t="s">
        <v>66</v>
      </c>
      <c r="L150">
        <v>75377</v>
      </c>
      <c r="M150">
        <v>5.64</v>
      </c>
      <c r="N150">
        <v>35.020000000000003</v>
      </c>
      <c r="P150">
        <v>0</v>
      </c>
      <c r="R150" t="s">
        <v>29</v>
      </c>
      <c r="S150" t="s">
        <v>64</v>
      </c>
      <c r="T150" t="s">
        <v>317</v>
      </c>
    </row>
    <row r="151" spans="1:20" x14ac:dyDescent="0.25">
      <c r="A151">
        <v>50</v>
      </c>
      <c r="B151" t="str">
        <f>HYPERLINK("https://imapinvasives.natureserve.org/imap/services/page/Presence/496893.html", "View")</f>
        <v>View</v>
      </c>
      <c r="C151">
        <v>496893</v>
      </c>
      <c r="D151">
        <v>496893</v>
      </c>
      <c r="E151" t="str">
        <f>HYPERLINK("http://imap3images.s3-website-us-east-1.amazonaws.com/496893/p/photourl1_2016_10_24_julgrinstead_cknasj06.jpg", "View")</f>
        <v>View</v>
      </c>
      <c r="F151" t="s">
        <v>47</v>
      </c>
      <c r="G151" t="s">
        <v>48</v>
      </c>
      <c r="H151">
        <v>54811</v>
      </c>
      <c r="I151" t="str">
        <f>HYPERLINK("https://www.inaturalist.org/taxa/48523-Symphoricarpos-albus", "View")</f>
        <v>View</v>
      </c>
      <c r="J151" t="s">
        <v>67</v>
      </c>
      <c r="K151" t="s">
        <v>68</v>
      </c>
      <c r="L151">
        <v>48523</v>
      </c>
      <c r="M151">
        <v>5.05</v>
      </c>
      <c r="N151">
        <v>10.57</v>
      </c>
      <c r="P151">
        <v>0</v>
      </c>
      <c r="R151" t="s">
        <v>27</v>
      </c>
      <c r="S151" t="s">
        <v>28</v>
      </c>
      <c r="T151" t="s">
        <v>317</v>
      </c>
    </row>
    <row r="152" spans="1:20" x14ac:dyDescent="0.25">
      <c r="A152">
        <v>51</v>
      </c>
      <c r="B152" t="str">
        <f>HYPERLINK("https://imapinvasives.natureserve.org/imap/services/page/Presence/496701.html", "View")</f>
        <v>View</v>
      </c>
      <c r="C152">
        <v>496701</v>
      </c>
      <c r="D152">
        <v>496701</v>
      </c>
      <c r="E152" t="str">
        <f>HYPERLINK("http://imap3images.s3-website-us-east-1.amazonaws.com/496701/p/photourl1_2016_10_21_julgrinstead_dow5v69y.jpg", "View")</f>
        <v>View</v>
      </c>
      <c r="F152" t="s">
        <v>47</v>
      </c>
      <c r="G152" t="s">
        <v>48</v>
      </c>
      <c r="H152">
        <v>54811</v>
      </c>
      <c r="I152" t="str">
        <f>HYPERLINK("https://www.inaturalist.org/taxa/48523-Symphoricarpos-albus", "View")</f>
        <v>View</v>
      </c>
      <c r="J152" t="s">
        <v>67</v>
      </c>
      <c r="K152" t="s">
        <v>68</v>
      </c>
      <c r="L152">
        <v>48523</v>
      </c>
      <c r="M152">
        <v>5.05</v>
      </c>
      <c r="N152">
        <v>10.57</v>
      </c>
      <c r="P152">
        <v>0</v>
      </c>
      <c r="R152" t="s">
        <v>27</v>
      </c>
      <c r="S152" t="s">
        <v>28</v>
      </c>
      <c r="T152" t="s">
        <v>317</v>
      </c>
    </row>
    <row r="153" spans="1:20" x14ac:dyDescent="0.25">
      <c r="A153">
        <v>52</v>
      </c>
      <c r="B153" t="str">
        <f>HYPERLINK("https://imapinvasives.natureserve.org/imap/services/page/Presence/421484.html", "View")</f>
        <v>View</v>
      </c>
      <c r="C153">
        <v>421484</v>
      </c>
      <c r="D153">
        <v>421484</v>
      </c>
      <c r="E153" t="str">
        <f>HYPERLINK("http://imap3images.s3-website-us-east-1.amazonaws.com/421484/p/photourl1_2014_10_19_jambeach_v5d62zdt.jpg", "View")</f>
        <v>View</v>
      </c>
      <c r="F153" t="s">
        <v>47</v>
      </c>
      <c r="G153" t="s">
        <v>48</v>
      </c>
      <c r="H153">
        <v>54811</v>
      </c>
      <c r="I153" t="str">
        <f t="shared" ref="I153:I162" si="7">HYPERLINK("https://www.inaturalist.org/taxa/54811-Rhamnus-cathartica", "View")</f>
        <v>View</v>
      </c>
      <c r="J153" t="s">
        <v>47</v>
      </c>
      <c r="K153" t="s">
        <v>49</v>
      </c>
      <c r="L153">
        <v>54811</v>
      </c>
      <c r="M153">
        <v>40.97</v>
      </c>
      <c r="N153">
        <v>99.97</v>
      </c>
      <c r="P153">
        <v>1</v>
      </c>
      <c r="R153" t="s">
        <v>23</v>
      </c>
      <c r="S153" t="s">
        <v>34</v>
      </c>
      <c r="T153" t="s">
        <v>317</v>
      </c>
    </row>
    <row r="154" spans="1:20" x14ac:dyDescent="0.25">
      <c r="A154">
        <v>53</v>
      </c>
      <c r="B154" t="str">
        <f>HYPERLINK("https://imapinvasives.natureserve.org/imap/services/page/Presence/513566.html", "View")</f>
        <v>View</v>
      </c>
      <c r="C154">
        <v>513566</v>
      </c>
      <c r="D154">
        <v>513566</v>
      </c>
      <c r="E154" t="str">
        <f>HYPERLINK("http://imap3images.s3-website-us-east-1.amazonaws.com/513566/p/photourl4_2017_08_04_kylwebster_chh09ta7.jpg", "View")</f>
        <v>View</v>
      </c>
      <c r="F154" t="s">
        <v>47</v>
      </c>
      <c r="G154" t="s">
        <v>48</v>
      </c>
      <c r="H154">
        <v>54811</v>
      </c>
      <c r="I154" t="str">
        <f t="shared" si="7"/>
        <v>View</v>
      </c>
      <c r="J154" t="s">
        <v>47</v>
      </c>
      <c r="K154" t="s">
        <v>49</v>
      </c>
      <c r="L154">
        <v>54811</v>
      </c>
      <c r="M154">
        <v>42.43</v>
      </c>
      <c r="N154">
        <v>99.64</v>
      </c>
      <c r="P154">
        <v>1</v>
      </c>
      <c r="R154" t="s">
        <v>23</v>
      </c>
      <c r="S154" t="s">
        <v>24</v>
      </c>
      <c r="T154" t="s">
        <v>316</v>
      </c>
    </row>
    <row r="155" spans="1:20" x14ac:dyDescent="0.25">
      <c r="A155">
        <v>54</v>
      </c>
      <c r="B155" t="str">
        <f>HYPERLINK("https://imapinvasives.natureserve.org/imap/services/page/Presence/1271765.html", "View")</f>
        <v>View</v>
      </c>
      <c r="C155">
        <v>1271765</v>
      </c>
      <c r="D155">
        <v>1280756</v>
      </c>
      <c r="E155" t="str">
        <f>HYPERLINK("http://imap3images.s3-website-us-east-1.amazonaws.com/1280756/p/imap_app_photo_1652321816717.jpg", "View")</f>
        <v>View</v>
      </c>
      <c r="F155" t="s">
        <v>47</v>
      </c>
      <c r="G155" t="s">
        <v>48</v>
      </c>
      <c r="H155">
        <v>54811</v>
      </c>
      <c r="I155" t="str">
        <f t="shared" si="7"/>
        <v>View</v>
      </c>
      <c r="J155" t="s">
        <v>47</v>
      </c>
      <c r="K155" t="s">
        <v>49</v>
      </c>
      <c r="L155">
        <v>54811</v>
      </c>
      <c r="M155">
        <v>49.35</v>
      </c>
      <c r="N155">
        <v>98.06</v>
      </c>
      <c r="P155">
        <v>1</v>
      </c>
      <c r="R155" t="s">
        <v>23</v>
      </c>
      <c r="S155" t="s">
        <v>24</v>
      </c>
      <c r="T155" t="s">
        <v>316</v>
      </c>
    </row>
    <row r="156" spans="1:20" x14ac:dyDescent="0.25">
      <c r="A156">
        <v>55</v>
      </c>
      <c r="B156" t="str">
        <f>HYPERLINK("https://imapinvasives.natureserve.org/imap/services/page/Presence/1283095.html", "View")</f>
        <v>View</v>
      </c>
      <c r="C156">
        <v>1283095</v>
      </c>
      <c r="D156">
        <v>1292597</v>
      </c>
      <c r="E156" t="str">
        <f>HYPERLINK("http://imap3images.s3-website-us-east-1.amazonaws.com/1292597/p/Photo_2.jpg", "View")</f>
        <v>View</v>
      </c>
      <c r="F156" t="s">
        <v>47</v>
      </c>
      <c r="G156" t="s">
        <v>48</v>
      </c>
      <c r="H156">
        <v>54811</v>
      </c>
      <c r="I156" t="str">
        <f t="shared" si="7"/>
        <v>View</v>
      </c>
      <c r="J156" t="s">
        <v>47</v>
      </c>
      <c r="K156" t="s">
        <v>49</v>
      </c>
      <c r="L156">
        <v>54811</v>
      </c>
      <c r="M156">
        <v>45.05</v>
      </c>
      <c r="N156">
        <v>99.2</v>
      </c>
      <c r="P156">
        <v>1</v>
      </c>
      <c r="R156" t="s">
        <v>23</v>
      </c>
      <c r="S156" t="s">
        <v>24</v>
      </c>
      <c r="T156" t="s">
        <v>316</v>
      </c>
    </row>
    <row r="157" spans="1:20" x14ac:dyDescent="0.25">
      <c r="A157">
        <v>56</v>
      </c>
      <c r="B157" t="str">
        <f>HYPERLINK("https://imapinvasives.natureserve.org/imap/services/page/Presence/418190.html", "View")</f>
        <v>View</v>
      </c>
      <c r="C157">
        <v>418190</v>
      </c>
      <c r="D157">
        <v>418190</v>
      </c>
      <c r="E157" t="str">
        <f>HYPERLINK("http://imap3images.s3-website-us-east-1.amazonaws.com/418190/p/photourl1_2014_07_30_andstadler_qev2c1jc.jpg", "View")</f>
        <v>View</v>
      </c>
      <c r="F157" t="s">
        <v>47</v>
      </c>
      <c r="G157" t="s">
        <v>48</v>
      </c>
      <c r="H157">
        <v>54811</v>
      </c>
      <c r="I157" t="str">
        <f t="shared" si="7"/>
        <v>View</v>
      </c>
      <c r="J157" t="s">
        <v>47</v>
      </c>
      <c r="K157" t="s">
        <v>49</v>
      </c>
      <c r="L157">
        <v>54811</v>
      </c>
      <c r="M157">
        <v>45.05</v>
      </c>
      <c r="N157">
        <v>96.21</v>
      </c>
      <c r="P157">
        <v>1</v>
      </c>
      <c r="R157" t="s">
        <v>23</v>
      </c>
      <c r="S157" t="s">
        <v>24</v>
      </c>
      <c r="T157" t="s">
        <v>316</v>
      </c>
    </row>
    <row r="158" spans="1:20" x14ac:dyDescent="0.25">
      <c r="A158">
        <v>57</v>
      </c>
      <c r="B158" t="str">
        <f>HYPERLINK("https://imapinvasives.natureserve.org/imap/services/page/Presence/1118019.html", "View")</f>
        <v>View</v>
      </c>
      <c r="C158">
        <v>1118019</v>
      </c>
      <c r="D158">
        <v>1124075</v>
      </c>
      <c r="E158" t="str">
        <f>HYPERLINK("http://imap3images.s3-website-us-east-1.amazonaws.com/1124075/p/attachment1.jpg", "View")</f>
        <v>View</v>
      </c>
      <c r="F158" t="s">
        <v>47</v>
      </c>
      <c r="G158" t="s">
        <v>48</v>
      </c>
      <c r="H158">
        <v>54811</v>
      </c>
      <c r="I158" t="str">
        <f t="shared" si="7"/>
        <v>View</v>
      </c>
      <c r="J158" t="s">
        <v>47</v>
      </c>
      <c r="K158" t="s">
        <v>49</v>
      </c>
      <c r="L158">
        <v>54811</v>
      </c>
      <c r="M158">
        <v>45.89</v>
      </c>
      <c r="N158">
        <v>94.52</v>
      </c>
      <c r="P158">
        <v>1</v>
      </c>
      <c r="R158" t="s">
        <v>23</v>
      </c>
      <c r="S158" t="s">
        <v>24</v>
      </c>
      <c r="T158" t="s">
        <v>316</v>
      </c>
    </row>
    <row r="159" spans="1:20" x14ac:dyDescent="0.25">
      <c r="A159">
        <v>58</v>
      </c>
      <c r="B159" t="str">
        <f>HYPERLINK("https://imapinvasives.natureserve.org/imap/services/page/Presence/1180434.html", "View")</f>
        <v>View</v>
      </c>
      <c r="C159">
        <v>1180434</v>
      </c>
      <c r="D159">
        <v>1188307</v>
      </c>
      <c r="E159" t="str">
        <f>HYPERLINK("http://imap3images.s3-website-us-east-1.amazonaws.com/1188307/p/imap_app_photo_1636764879949.jpg", "View")</f>
        <v>View</v>
      </c>
      <c r="F159" t="s">
        <v>47</v>
      </c>
      <c r="G159" t="s">
        <v>48</v>
      </c>
      <c r="H159">
        <v>54811</v>
      </c>
      <c r="I159" t="str">
        <f t="shared" si="7"/>
        <v>View</v>
      </c>
      <c r="J159" t="s">
        <v>47</v>
      </c>
      <c r="K159" t="s">
        <v>49</v>
      </c>
      <c r="L159">
        <v>54811</v>
      </c>
      <c r="M159">
        <v>45.89</v>
      </c>
      <c r="N159">
        <v>94.21</v>
      </c>
      <c r="P159">
        <v>1</v>
      </c>
      <c r="R159" t="s">
        <v>23</v>
      </c>
      <c r="S159" t="s">
        <v>24</v>
      </c>
      <c r="T159" t="s">
        <v>316</v>
      </c>
    </row>
    <row r="160" spans="1:20" x14ac:dyDescent="0.25">
      <c r="A160">
        <v>59</v>
      </c>
      <c r="B160" t="str">
        <f>HYPERLINK("https://imapinvasives.natureserve.org/imap/services/page/Presence/420709.html", "View")</f>
        <v>View</v>
      </c>
      <c r="C160">
        <v>420709</v>
      </c>
      <c r="D160">
        <v>420709</v>
      </c>
      <c r="E160" t="str">
        <f>HYPERLINK("http://imap3images.s3-website-us-east-1.amazonaws.com/420709/p/photourl1_2014_09_22_susburdsall_rkw1n6ko.jpg", "View")</f>
        <v>View</v>
      </c>
      <c r="F160" t="s">
        <v>47</v>
      </c>
      <c r="G160" t="s">
        <v>48</v>
      </c>
      <c r="H160">
        <v>54811</v>
      </c>
      <c r="I160" t="str">
        <f t="shared" si="7"/>
        <v>View</v>
      </c>
      <c r="J160" t="s">
        <v>47</v>
      </c>
      <c r="K160" t="s">
        <v>49</v>
      </c>
      <c r="L160">
        <v>54811</v>
      </c>
      <c r="M160">
        <v>19.760000000000002</v>
      </c>
      <c r="N160">
        <v>73.540000000000006</v>
      </c>
      <c r="P160">
        <v>1</v>
      </c>
      <c r="R160" t="s">
        <v>23</v>
      </c>
      <c r="S160" t="s">
        <v>24</v>
      </c>
      <c r="T160" t="s">
        <v>316</v>
      </c>
    </row>
    <row r="161" spans="1:20" x14ac:dyDescent="0.25">
      <c r="A161">
        <v>60</v>
      </c>
      <c r="B161" t="str">
        <f>HYPERLINK("https://imapinvasives.natureserve.org/imap/services/page/Presence/1435194.html", "View")</f>
        <v>View</v>
      </c>
      <c r="C161">
        <v>1435194</v>
      </c>
      <c r="D161">
        <v>1448889</v>
      </c>
      <c r="E161" t="str">
        <f>HYPERLINK("http://imap3images.s3-website-us-east-1.amazonaws.com/1448889/p/imap_app_photo_1721315294999.jpg", "View")</f>
        <v>View</v>
      </c>
      <c r="F161" t="s">
        <v>47</v>
      </c>
      <c r="G161" t="s">
        <v>48</v>
      </c>
      <c r="H161">
        <v>54811</v>
      </c>
      <c r="I161" t="str">
        <f t="shared" si="7"/>
        <v>View</v>
      </c>
      <c r="J161" t="s">
        <v>47</v>
      </c>
      <c r="K161" t="s">
        <v>49</v>
      </c>
      <c r="L161">
        <v>54811</v>
      </c>
      <c r="M161">
        <v>19.760000000000002</v>
      </c>
      <c r="N161">
        <v>77.12</v>
      </c>
      <c r="P161">
        <v>1</v>
      </c>
      <c r="R161" t="s">
        <v>23</v>
      </c>
      <c r="S161" t="s">
        <v>24</v>
      </c>
      <c r="T161" t="s">
        <v>316</v>
      </c>
    </row>
    <row r="162" spans="1:20" x14ac:dyDescent="0.25">
      <c r="A162">
        <v>61</v>
      </c>
      <c r="B162" t="str">
        <f>HYPERLINK("https://imapinvasives.natureserve.org/imap/services/page/Presence/491536.html", "View")</f>
        <v>View</v>
      </c>
      <c r="C162">
        <v>491536</v>
      </c>
      <c r="D162">
        <v>491536</v>
      </c>
      <c r="E162" t="str">
        <f>HYPERLINK("http://imap3images.s3-website-us-east-1.amazonaws.com/491536/p/photourl1_2016_06_09_laugailor_h5dk52xy.jpg", "View")</f>
        <v>View</v>
      </c>
      <c r="F162" t="s">
        <v>47</v>
      </c>
      <c r="G162" t="s">
        <v>48</v>
      </c>
      <c r="H162">
        <v>54811</v>
      </c>
      <c r="I162" t="str">
        <f t="shared" si="7"/>
        <v>View</v>
      </c>
      <c r="J162" t="s">
        <v>47</v>
      </c>
      <c r="K162" t="s">
        <v>49</v>
      </c>
      <c r="L162">
        <v>54811</v>
      </c>
      <c r="M162">
        <v>32.950000000000003</v>
      </c>
      <c r="N162">
        <v>95.35</v>
      </c>
      <c r="P162">
        <v>1</v>
      </c>
      <c r="R162" t="s">
        <v>23</v>
      </c>
      <c r="S162" t="s">
        <v>24</v>
      </c>
      <c r="T162" t="s">
        <v>316</v>
      </c>
    </row>
    <row r="163" spans="1:20" x14ac:dyDescent="0.25">
      <c r="A163">
        <v>62</v>
      </c>
      <c r="B163" t="str">
        <f>HYPERLINK("https://imapinvasives.natureserve.org/imap/services/page/Presence/1273563.html", "View")</f>
        <v>View</v>
      </c>
      <c r="C163">
        <v>1273563</v>
      </c>
      <c r="D163">
        <v>1282752</v>
      </c>
      <c r="E163" t="str">
        <f>HYPERLINK("http://imap3images.s3-website-us-east-1.amazonaws.com/1282752/p/Photo_1.jpg", "View")</f>
        <v>View</v>
      </c>
      <c r="F163" t="s">
        <v>47</v>
      </c>
      <c r="G163" t="s">
        <v>48</v>
      </c>
      <c r="H163">
        <v>54811</v>
      </c>
      <c r="I163" t="str">
        <f>HYPERLINK("https://www.inaturalist.org/taxa/54834-Prunus-serotina", "View")</f>
        <v>View</v>
      </c>
      <c r="J163" t="s">
        <v>69</v>
      </c>
      <c r="K163" t="s">
        <v>70</v>
      </c>
      <c r="L163">
        <v>54834</v>
      </c>
      <c r="M163">
        <v>58.35</v>
      </c>
      <c r="N163">
        <v>53.13</v>
      </c>
      <c r="P163">
        <v>0</v>
      </c>
      <c r="R163" t="s">
        <v>29</v>
      </c>
      <c r="S163" t="s">
        <v>28</v>
      </c>
      <c r="T163" t="s">
        <v>317</v>
      </c>
    </row>
    <row r="164" spans="1:20" x14ac:dyDescent="0.25">
      <c r="A164">
        <v>63</v>
      </c>
      <c r="B164" t="str">
        <f>HYPERLINK("https://imapinvasives.natureserve.org/imap/services/page/Presence/1159020.html", "View")</f>
        <v>View</v>
      </c>
      <c r="C164">
        <v>1159020</v>
      </c>
      <c r="D164">
        <v>1166093</v>
      </c>
      <c r="E164" t="str">
        <f>HYPERLINK("http://imap3images.s3-website-us-east-1.amazonaws.com/1166093/p/imap_app_photo_1629224886174.jpg", "View")</f>
        <v>View</v>
      </c>
      <c r="F164" t="s">
        <v>47</v>
      </c>
      <c r="G164" t="s">
        <v>48</v>
      </c>
      <c r="H164">
        <v>54811</v>
      </c>
      <c r="I164" t="str">
        <f>HYPERLINK("https://www.inaturalist.org/taxa/54811-Rhamnus-cathartica", "View")</f>
        <v>View</v>
      </c>
      <c r="J164" t="s">
        <v>47</v>
      </c>
      <c r="K164" t="s">
        <v>49</v>
      </c>
      <c r="L164">
        <v>54811</v>
      </c>
      <c r="M164">
        <v>39.200000000000003</v>
      </c>
      <c r="N164">
        <v>88.11</v>
      </c>
      <c r="P164">
        <v>1</v>
      </c>
      <c r="R164" t="s">
        <v>23</v>
      </c>
      <c r="S164" t="s">
        <v>24</v>
      </c>
      <c r="T164" t="s">
        <v>316</v>
      </c>
    </row>
    <row r="165" spans="1:20" x14ac:dyDescent="0.25">
      <c r="A165">
        <v>64</v>
      </c>
      <c r="B165" t="str">
        <f>HYPERLINK("https://imapinvasives.natureserve.org/imap/services/page/Presence/493181.html", "View")</f>
        <v>View</v>
      </c>
      <c r="C165">
        <v>493181</v>
      </c>
      <c r="D165">
        <v>493181</v>
      </c>
      <c r="E165" t="str">
        <f>HYPERLINK("http://imap3images.s3-website-us-east-1.amazonaws.com/493181/p/photourl1_2016_07_14_lydfox_rfe7cj65.jpg", "View")</f>
        <v>View</v>
      </c>
      <c r="F165" t="s">
        <v>47</v>
      </c>
      <c r="G165" t="s">
        <v>48</v>
      </c>
      <c r="H165">
        <v>54811</v>
      </c>
      <c r="I165" t="str">
        <f>HYPERLINK("https://www.inaturalist.org/taxa/54811-Rhamnus-cathartica", "View")</f>
        <v>View</v>
      </c>
      <c r="J165" t="s">
        <v>47</v>
      </c>
      <c r="K165" t="s">
        <v>49</v>
      </c>
      <c r="L165">
        <v>54811</v>
      </c>
      <c r="M165">
        <v>39.200000000000003</v>
      </c>
      <c r="N165">
        <v>98.96</v>
      </c>
      <c r="P165">
        <v>1</v>
      </c>
      <c r="R165" t="s">
        <v>23</v>
      </c>
      <c r="S165" t="s">
        <v>24</v>
      </c>
      <c r="T165" t="s">
        <v>316</v>
      </c>
    </row>
    <row r="166" spans="1:20" x14ac:dyDescent="0.25">
      <c r="A166">
        <v>65</v>
      </c>
      <c r="B166" t="str">
        <f>HYPERLINK("https://imapinvasives.natureserve.org/imap/services/page/Presence/1026254.html", "View")</f>
        <v>View</v>
      </c>
      <c r="C166">
        <v>1026254</v>
      </c>
      <c r="D166">
        <v>1027211</v>
      </c>
      <c r="E166" t="str">
        <f>HYPERLINK("http://imap3images.s3-website-us-east-1.amazonaws.com/1027211/p/imap_app_photo_1565891263033.jpg", "View")</f>
        <v>View</v>
      </c>
      <c r="F166" t="s">
        <v>47</v>
      </c>
      <c r="G166" t="s">
        <v>48</v>
      </c>
      <c r="H166">
        <v>54811</v>
      </c>
      <c r="I166" t="str">
        <f>HYPERLINK("https://www.inaturalist.org/taxa/54811-Rhamnus-cathartica", "View")</f>
        <v>View</v>
      </c>
      <c r="J166" t="s">
        <v>47</v>
      </c>
      <c r="K166" t="s">
        <v>49</v>
      </c>
      <c r="L166">
        <v>54811</v>
      </c>
      <c r="M166">
        <v>49.59</v>
      </c>
      <c r="N166">
        <v>99.19</v>
      </c>
      <c r="P166">
        <v>1</v>
      </c>
      <c r="R166" t="s">
        <v>23</v>
      </c>
      <c r="S166" t="s">
        <v>24</v>
      </c>
      <c r="T166" t="s">
        <v>316</v>
      </c>
    </row>
    <row r="167" spans="1:20" x14ac:dyDescent="0.25">
      <c r="A167">
        <v>66</v>
      </c>
      <c r="B167" t="str">
        <f>HYPERLINK("https://imapinvasives.natureserve.org/imap/services/page/Presence/1017603.html", "View")</f>
        <v>View</v>
      </c>
      <c r="C167">
        <v>1017603</v>
      </c>
      <c r="D167">
        <v>1018098</v>
      </c>
      <c r="E167" t="str">
        <f>HYPERLINK("http://imap3images.s3-website-us-east-1.amazonaws.com/1018098/p/imap_app_photo_1560952291264.jpg", "View")</f>
        <v>View</v>
      </c>
      <c r="F167" t="s">
        <v>47</v>
      </c>
      <c r="G167" t="s">
        <v>48</v>
      </c>
      <c r="H167">
        <v>54811</v>
      </c>
      <c r="I167" t="str">
        <f>HYPERLINK("https://www.inaturalist.org/taxa/54811-Rhamnus-cathartica", "View")</f>
        <v>View</v>
      </c>
      <c r="J167" t="s">
        <v>47</v>
      </c>
      <c r="K167" t="s">
        <v>49</v>
      </c>
      <c r="L167">
        <v>54811</v>
      </c>
      <c r="M167">
        <v>49.59</v>
      </c>
      <c r="N167">
        <v>98.67</v>
      </c>
      <c r="P167">
        <v>1</v>
      </c>
      <c r="R167" t="s">
        <v>23</v>
      </c>
      <c r="S167" t="s">
        <v>24</v>
      </c>
      <c r="T167" t="s">
        <v>316</v>
      </c>
    </row>
    <row r="168" spans="1:20" x14ac:dyDescent="0.25">
      <c r="A168">
        <v>67</v>
      </c>
      <c r="B168" t="str">
        <f>HYPERLINK("https://imapinvasives.natureserve.org/imap/services/page/Presence/1068904.html", "View")</f>
        <v>View</v>
      </c>
      <c r="C168">
        <v>1068904</v>
      </c>
      <c r="D168">
        <v>1073747</v>
      </c>
      <c r="E168" t="str">
        <f>HYPERLINK("http://imap3images.s3-website-us-east-1.amazonaws.com/1073747/p/imap_app_photo_1599948940016.jpg", "View")</f>
        <v>View</v>
      </c>
      <c r="F168" t="s">
        <v>47</v>
      </c>
      <c r="G168" t="s">
        <v>48</v>
      </c>
      <c r="H168">
        <v>54811</v>
      </c>
      <c r="I168" t="str">
        <f>HYPERLINK("https://www.inaturalist.org/taxa/54811-Rhamnus-cathartica", "View")</f>
        <v>View</v>
      </c>
      <c r="J168" t="s">
        <v>47</v>
      </c>
      <c r="K168" t="s">
        <v>49</v>
      </c>
      <c r="L168">
        <v>54811</v>
      </c>
      <c r="M168">
        <v>26.22</v>
      </c>
      <c r="N168">
        <v>37.590000000000003</v>
      </c>
      <c r="P168">
        <v>1</v>
      </c>
      <c r="R168" t="s">
        <v>23</v>
      </c>
      <c r="S168" t="s">
        <v>33</v>
      </c>
      <c r="T168" t="s">
        <v>317</v>
      </c>
    </row>
    <row r="169" spans="1:20" x14ac:dyDescent="0.25">
      <c r="A169">
        <v>68</v>
      </c>
      <c r="B169" t="str">
        <f>HYPERLINK("https://imapinvasives.natureserve.org/imap/services/page/Presence/1182021.html", "View")</f>
        <v>View</v>
      </c>
      <c r="C169">
        <v>1182021</v>
      </c>
      <c r="D169">
        <v>1189910</v>
      </c>
      <c r="E169" t="str">
        <f>HYPERLINK("http://imap3images.s3-website-us-east-1.amazonaws.com/1189910/p/imap_app_photo_1637583632936.jpg", "View")</f>
        <v>View</v>
      </c>
      <c r="F169" t="s">
        <v>47</v>
      </c>
      <c r="G169" t="s">
        <v>48</v>
      </c>
      <c r="H169">
        <v>54811</v>
      </c>
      <c r="I169" t="str">
        <f>HYPERLINK("https://www.inaturalist.org/taxa/64540-Celastrus-orbiculatus", "View")</f>
        <v>View</v>
      </c>
      <c r="J169" t="s">
        <v>56</v>
      </c>
      <c r="K169" t="s">
        <v>57</v>
      </c>
      <c r="L169">
        <v>64540</v>
      </c>
      <c r="M169">
        <v>13.3</v>
      </c>
      <c r="N169">
        <v>30.67</v>
      </c>
      <c r="P169">
        <v>0</v>
      </c>
      <c r="R169" t="s">
        <v>29</v>
      </c>
      <c r="S169" t="s">
        <v>33</v>
      </c>
      <c r="T169" t="s">
        <v>317</v>
      </c>
    </row>
    <row r="170" spans="1:20" x14ac:dyDescent="0.25">
      <c r="A170">
        <v>69</v>
      </c>
      <c r="B170" t="str">
        <f>HYPERLINK("https://imapinvasives.natureserve.org/imap/services/page/Presence/1337819.html", "View")</f>
        <v>View</v>
      </c>
      <c r="C170">
        <v>1337819</v>
      </c>
      <c r="D170">
        <v>1352455</v>
      </c>
      <c r="E170" t="str">
        <f>HYPERLINK("http://imap3images.s3-website-us-east-1.amazonaws.com/1352455/p/Photo2-20230630-200403.jpg", "View")</f>
        <v>View</v>
      </c>
      <c r="F170" t="s">
        <v>47</v>
      </c>
      <c r="G170" t="s">
        <v>48</v>
      </c>
      <c r="H170">
        <v>54811</v>
      </c>
      <c r="I170" t="str">
        <f>HYPERLINK("https://www.inaturalist.org/taxa/784562-Populus-laurifolia", "View")</f>
        <v>View</v>
      </c>
      <c r="J170" t="s">
        <v>71</v>
      </c>
      <c r="K170" t="s">
        <v>72</v>
      </c>
      <c r="L170">
        <v>784562</v>
      </c>
      <c r="M170">
        <v>0</v>
      </c>
      <c r="N170">
        <v>12.71</v>
      </c>
      <c r="P170">
        <v>0</v>
      </c>
      <c r="R170" t="s">
        <v>29</v>
      </c>
      <c r="S170" t="s">
        <v>33</v>
      </c>
      <c r="T170" t="s">
        <v>317</v>
      </c>
    </row>
    <row r="171" spans="1:20" x14ac:dyDescent="0.25">
      <c r="A171">
        <v>70</v>
      </c>
      <c r="B171" t="str">
        <f>HYPERLINK("https://imapinvasives.natureserve.org/imap/services/page/Presence/1337829.html", "View")</f>
        <v>View</v>
      </c>
      <c r="C171">
        <v>1337829</v>
      </c>
      <c r="D171">
        <v>1352469</v>
      </c>
      <c r="E171" t="str">
        <f>HYPERLINK("http://imap3images.s3-website-us-east-1.amazonaws.com/1352469/p/Photo1-20230630-205233.jpg", "View")</f>
        <v>View</v>
      </c>
      <c r="F171" t="s">
        <v>47</v>
      </c>
      <c r="G171" t="s">
        <v>48</v>
      </c>
      <c r="H171">
        <v>54811</v>
      </c>
      <c r="I171" t="str">
        <f>HYPERLINK("https://www.inaturalist.org/taxa/54811-Rhamnus-cathartica", "View")</f>
        <v>View</v>
      </c>
      <c r="J171" t="s">
        <v>47</v>
      </c>
      <c r="K171" t="s">
        <v>49</v>
      </c>
      <c r="L171">
        <v>54811</v>
      </c>
      <c r="M171">
        <v>14.14</v>
      </c>
      <c r="N171">
        <v>97.55</v>
      </c>
      <c r="P171">
        <v>1</v>
      </c>
      <c r="R171" t="s">
        <v>23</v>
      </c>
      <c r="S171" t="s">
        <v>24</v>
      </c>
      <c r="T171" t="s">
        <v>316</v>
      </c>
    </row>
    <row r="172" spans="1:20" x14ac:dyDescent="0.25">
      <c r="A172">
        <v>71</v>
      </c>
      <c r="B172" t="str">
        <f>HYPERLINK("https://imapinvasives.natureserve.org/imap/services/page/Presence/1335309.html", "View")</f>
        <v>View</v>
      </c>
      <c r="C172">
        <v>1335309</v>
      </c>
      <c r="D172">
        <v>1349596</v>
      </c>
      <c r="E172" t="str">
        <f>HYPERLINK("http://imap3images.s3-website-us-east-1.amazonaws.com/1349596/p/imap_app_photo_1686774052875.jpg", "View")</f>
        <v>View</v>
      </c>
      <c r="F172" t="s">
        <v>47</v>
      </c>
      <c r="G172" t="s">
        <v>48</v>
      </c>
      <c r="H172">
        <v>54811</v>
      </c>
      <c r="I172" t="str">
        <f>HYPERLINK("https://www.inaturalist.org/taxa/469472-Malus-domestica", "View")</f>
        <v>View</v>
      </c>
      <c r="J172" t="s">
        <v>73</v>
      </c>
      <c r="K172" t="s">
        <v>74</v>
      </c>
      <c r="L172">
        <v>469472</v>
      </c>
      <c r="M172">
        <v>9.4700000000000006</v>
      </c>
      <c r="N172">
        <v>60.77</v>
      </c>
      <c r="P172">
        <v>0</v>
      </c>
      <c r="R172" t="s">
        <v>40</v>
      </c>
      <c r="S172" t="s">
        <v>33</v>
      </c>
      <c r="T172" t="s">
        <v>317</v>
      </c>
    </row>
    <row r="173" spans="1:20" x14ac:dyDescent="0.25">
      <c r="A173">
        <v>72</v>
      </c>
      <c r="B173" t="str">
        <f>HYPERLINK("https://imapinvasives.natureserve.org/imap/services/page/Presence/1017926.html", "View")</f>
        <v>View</v>
      </c>
      <c r="C173">
        <v>1017926</v>
      </c>
      <c r="D173">
        <v>1018428</v>
      </c>
      <c r="E173" t="str">
        <f>HYPERLINK("http://imap3images.s3-website-us-east-1.amazonaws.com/1018428/p/20190623_180608.jpg", "View")</f>
        <v>View</v>
      </c>
      <c r="F173" t="s">
        <v>47</v>
      </c>
      <c r="G173" t="s">
        <v>48</v>
      </c>
      <c r="H173">
        <v>54811</v>
      </c>
      <c r="I173" t="str">
        <f>HYPERLINK("https://www.inaturalist.org/taxa/54811-Rhamnus-cathartica", "View")</f>
        <v>View</v>
      </c>
      <c r="J173" t="s">
        <v>47</v>
      </c>
      <c r="K173" t="s">
        <v>49</v>
      </c>
      <c r="L173">
        <v>54811</v>
      </c>
      <c r="M173">
        <v>29.1</v>
      </c>
      <c r="N173">
        <v>96.44</v>
      </c>
      <c r="P173">
        <v>1</v>
      </c>
      <c r="R173" t="s">
        <v>23</v>
      </c>
      <c r="S173" t="s">
        <v>24</v>
      </c>
      <c r="T173" t="s">
        <v>316</v>
      </c>
    </row>
    <row r="174" spans="1:20" x14ac:dyDescent="0.25">
      <c r="A174">
        <v>73</v>
      </c>
      <c r="B174" t="str">
        <f>HYPERLINK("https://imapinvasives.natureserve.org/imap/services/page/Presence/1042951.html", "View")</f>
        <v>View</v>
      </c>
      <c r="C174">
        <v>1042951</v>
      </c>
      <c r="D174">
        <v>1046800</v>
      </c>
      <c r="E174" t="str">
        <f>HYPERLINK("http://imap3images.s3-website-us-east-1.amazonaws.com/1046800/p/imap_app_photo_1583355089050.jpg", "View")</f>
        <v>View</v>
      </c>
      <c r="F174" t="s">
        <v>47</v>
      </c>
      <c r="G174" t="s">
        <v>48</v>
      </c>
      <c r="H174">
        <v>54811</v>
      </c>
      <c r="I174" t="str">
        <f>HYPERLINK("https://www.inaturalist.org/taxa/54811-Rhamnus-cathartica", "View")</f>
        <v>View</v>
      </c>
      <c r="J174" t="s">
        <v>47</v>
      </c>
      <c r="K174" t="s">
        <v>49</v>
      </c>
      <c r="L174">
        <v>54811</v>
      </c>
      <c r="M174">
        <v>43.76</v>
      </c>
      <c r="N174">
        <v>36.17</v>
      </c>
      <c r="P174">
        <v>1</v>
      </c>
      <c r="R174" t="s">
        <v>23</v>
      </c>
      <c r="S174" t="s">
        <v>64</v>
      </c>
      <c r="T174" t="s">
        <v>317</v>
      </c>
    </row>
    <row r="175" spans="1:20" x14ac:dyDescent="0.25">
      <c r="A175">
        <v>74</v>
      </c>
      <c r="B175" t="str">
        <f>HYPERLINK("https://imapinvasives.natureserve.org/imap/services/page/Presence/1042949.html", "View")</f>
        <v>View</v>
      </c>
      <c r="C175">
        <v>1042949</v>
      </c>
      <c r="D175">
        <v>1046798</v>
      </c>
      <c r="E175" t="str">
        <f>HYPERLINK("http://imap3images.s3-website-us-east-1.amazonaws.com/1046798/p/imap_app_photo_1583355080464.jpg", "View")</f>
        <v>View</v>
      </c>
      <c r="F175" t="s">
        <v>47</v>
      </c>
      <c r="G175" t="s">
        <v>48</v>
      </c>
      <c r="H175">
        <v>54811</v>
      </c>
      <c r="I175" t="str">
        <f>HYPERLINK("https://www.inaturalist.org/taxa/54811-Rhamnus-cathartica", "View")</f>
        <v>View</v>
      </c>
      <c r="J175" t="s">
        <v>47</v>
      </c>
      <c r="K175" t="s">
        <v>49</v>
      </c>
      <c r="L175">
        <v>54811</v>
      </c>
      <c r="M175">
        <v>43.76</v>
      </c>
      <c r="N175">
        <v>12.73</v>
      </c>
      <c r="P175">
        <v>1</v>
      </c>
      <c r="R175" t="s">
        <v>23</v>
      </c>
      <c r="S175" t="s">
        <v>64</v>
      </c>
      <c r="T175" t="s">
        <v>317</v>
      </c>
    </row>
    <row r="176" spans="1:20" x14ac:dyDescent="0.25">
      <c r="A176">
        <v>75</v>
      </c>
      <c r="B176" t="str">
        <f>HYPERLINK("https://imapinvasives.natureserve.org/imap/services/page/Presence/1339867.html", "View")</f>
        <v>View</v>
      </c>
      <c r="C176">
        <v>1339867</v>
      </c>
      <c r="D176">
        <v>1354928</v>
      </c>
      <c r="E176" t="str">
        <f>HYPERLINK("http://imap3images.s3-website-us-east-1.amazonaws.com/1354928/p/Photo1-20230711-152119.jpg", "View")</f>
        <v>View</v>
      </c>
      <c r="F176" t="s">
        <v>47</v>
      </c>
      <c r="G176" t="s">
        <v>48</v>
      </c>
      <c r="H176">
        <v>54811</v>
      </c>
      <c r="I176" t="str">
        <f>HYPERLINK("https://www.inaturalist.org/taxa/54811-Rhamnus-cathartica", "View")</f>
        <v>View</v>
      </c>
      <c r="J176" t="s">
        <v>47</v>
      </c>
      <c r="K176" t="s">
        <v>49</v>
      </c>
      <c r="L176">
        <v>54811</v>
      </c>
      <c r="M176">
        <v>7</v>
      </c>
      <c r="N176">
        <v>85.11</v>
      </c>
      <c r="P176">
        <v>1</v>
      </c>
      <c r="R176" t="s">
        <v>23</v>
      </c>
      <c r="S176" t="s">
        <v>24</v>
      </c>
      <c r="T176" t="s">
        <v>316</v>
      </c>
    </row>
    <row r="177" spans="1:20" x14ac:dyDescent="0.25">
      <c r="A177">
        <v>76</v>
      </c>
      <c r="B177" t="str">
        <f>HYPERLINK("https://imapinvasives.natureserve.org/imap/services/page/Presence/1336242.html", "View")</f>
        <v>View</v>
      </c>
      <c r="C177">
        <v>1336242</v>
      </c>
      <c r="D177">
        <v>1350615</v>
      </c>
      <c r="E177" t="str">
        <f>HYPERLINK("http://imap3images.s3-website-us-east-1.amazonaws.com/1350615/p/Photo1-20230620-140816.jpg", "View")</f>
        <v>View</v>
      </c>
      <c r="F177" t="s">
        <v>47</v>
      </c>
      <c r="G177" t="s">
        <v>48</v>
      </c>
      <c r="H177">
        <v>54811</v>
      </c>
      <c r="I177" t="str">
        <f>HYPERLINK("https://www.inaturalist.org/taxa/54811-Rhamnus-cathartica", "View")</f>
        <v>View</v>
      </c>
      <c r="J177" t="s">
        <v>47</v>
      </c>
      <c r="K177" t="s">
        <v>49</v>
      </c>
      <c r="L177">
        <v>54811</v>
      </c>
      <c r="M177">
        <v>11.59</v>
      </c>
      <c r="N177">
        <v>89.79</v>
      </c>
      <c r="P177">
        <v>1</v>
      </c>
      <c r="R177" t="s">
        <v>23</v>
      </c>
      <c r="S177" t="s">
        <v>24</v>
      </c>
      <c r="T177" t="s">
        <v>316</v>
      </c>
    </row>
    <row r="178" spans="1:20" x14ac:dyDescent="0.25">
      <c r="A178">
        <v>77</v>
      </c>
      <c r="B178" t="str">
        <f>HYPERLINK("https://imapinvasives.natureserve.org/imap/services/page/Presence/1282261.html", "View")</f>
        <v>View</v>
      </c>
      <c r="C178">
        <v>1282261</v>
      </c>
      <c r="D178">
        <v>1291724</v>
      </c>
      <c r="E178" t="str">
        <f>HYPERLINK("http://imap3images.s3-website-us-east-1.amazonaws.com/1291724/p/imap_app_photo_1657817836415.jpg", "View")</f>
        <v>View</v>
      </c>
      <c r="F178" t="s">
        <v>47</v>
      </c>
      <c r="G178" t="s">
        <v>48</v>
      </c>
      <c r="H178">
        <v>54811</v>
      </c>
      <c r="I178" t="str">
        <f>HYPERLINK("https://www.inaturalist.org/taxa/64540-Celastrus-orbiculatus", "View")</f>
        <v>View</v>
      </c>
      <c r="J178" t="s">
        <v>56</v>
      </c>
      <c r="K178" t="s">
        <v>57</v>
      </c>
      <c r="L178">
        <v>64540</v>
      </c>
      <c r="M178">
        <v>85.5</v>
      </c>
      <c r="N178">
        <v>77.510000000000005</v>
      </c>
      <c r="P178">
        <v>0</v>
      </c>
      <c r="R178" t="s">
        <v>29</v>
      </c>
      <c r="S178" t="s">
        <v>24</v>
      </c>
      <c r="T178" t="s">
        <v>316</v>
      </c>
    </row>
    <row r="179" spans="1:20" x14ac:dyDescent="0.25">
      <c r="A179">
        <v>78</v>
      </c>
      <c r="B179" t="str">
        <f>HYPERLINK("https://imapinvasives.natureserve.org/imap/services/page/Presence/1079801.html", "View")</f>
        <v>View</v>
      </c>
      <c r="C179">
        <v>1079801</v>
      </c>
      <c r="D179">
        <v>1085446</v>
      </c>
      <c r="E179" t="str">
        <f>HYPERLINK("http://imap3images.s3-website-us-east-1.amazonaws.com/1085446/p/Photo_1.jpg", "View")</f>
        <v>View</v>
      </c>
      <c r="F179" t="s">
        <v>47</v>
      </c>
      <c r="G179" t="s">
        <v>48</v>
      </c>
      <c r="H179">
        <v>54811</v>
      </c>
      <c r="I179" t="str">
        <f>HYPERLINK("https://www.inaturalist.org/taxa/56088-Robinia-pseudoacacia", "View")</f>
        <v>View</v>
      </c>
      <c r="J179" t="s">
        <v>75</v>
      </c>
      <c r="K179" t="s">
        <v>76</v>
      </c>
      <c r="L179">
        <v>56088</v>
      </c>
      <c r="M179">
        <v>76.13</v>
      </c>
      <c r="N179">
        <v>34.54</v>
      </c>
      <c r="P179">
        <v>0</v>
      </c>
      <c r="R179" t="s">
        <v>27</v>
      </c>
      <c r="S179" t="s">
        <v>24</v>
      </c>
      <c r="T179" t="s">
        <v>316</v>
      </c>
    </row>
    <row r="180" spans="1:20" x14ac:dyDescent="0.25">
      <c r="A180">
        <v>79</v>
      </c>
      <c r="B180" t="str">
        <f>HYPERLINK("https://imapinvasives.natureserve.org/imap/services/page/Presence/1160487.html", "View")</f>
        <v>View</v>
      </c>
      <c r="C180">
        <v>1160487</v>
      </c>
      <c r="D180">
        <v>1167607</v>
      </c>
      <c r="E180" t="str">
        <f>HYPERLINK("http://imap3images.s3-website-us-east-1.amazonaws.com/1167607/p/imap_app_photo_1630277515052.jpg", "View")</f>
        <v>View</v>
      </c>
      <c r="F180" t="s">
        <v>47</v>
      </c>
      <c r="G180" t="s">
        <v>48</v>
      </c>
      <c r="H180">
        <v>54811</v>
      </c>
      <c r="I180" t="str">
        <f>HYPERLINK("https://www.inaturalist.org/taxa/54811-Rhamnus-cathartica", "View")</f>
        <v>View</v>
      </c>
      <c r="J180" t="s">
        <v>47</v>
      </c>
      <c r="K180" t="s">
        <v>49</v>
      </c>
      <c r="L180">
        <v>54811</v>
      </c>
      <c r="M180">
        <v>14.72</v>
      </c>
      <c r="N180">
        <v>99.25</v>
      </c>
      <c r="P180">
        <v>1</v>
      </c>
      <c r="R180" t="s">
        <v>23</v>
      </c>
      <c r="S180" t="s">
        <v>24</v>
      </c>
      <c r="T180" t="s">
        <v>316</v>
      </c>
    </row>
    <row r="181" spans="1:20" x14ac:dyDescent="0.25">
      <c r="A181">
        <v>80</v>
      </c>
      <c r="B181" t="str">
        <f>HYPERLINK("https://imapinvasives.natureserve.org/imap/services/page/Presence/1151585.html", "View")</f>
        <v>View</v>
      </c>
      <c r="C181">
        <v>1151585</v>
      </c>
      <c r="D181">
        <v>1158475</v>
      </c>
      <c r="E181" t="str">
        <f>HYPERLINK("http://imap3images.s3-website-us-east-1.amazonaws.com/1158475/p/imap_app_photo_1626732147041.jpg", "View")</f>
        <v>View</v>
      </c>
      <c r="F181" t="s">
        <v>47</v>
      </c>
      <c r="G181" t="s">
        <v>48</v>
      </c>
      <c r="H181">
        <v>54811</v>
      </c>
      <c r="I181" t="str">
        <f>HYPERLINK("https://www.inaturalist.org/taxa/54811-Rhamnus-cathartica", "View")</f>
        <v>View</v>
      </c>
      <c r="J181" t="s">
        <v>47</v>
      </c>
      <c r="K181" t="s">
        <v>49</v>
      </c>
      <c r="L181">
        <v>54811</v>
      </c>
      <c r="M181">
        <v>14.72</v>
      </c>
      <c r="N181">
        <v>95.03</v>
      </c>
      <c r="P181">
        <v>1</v>
      </c>
      <c r="R181" t="s">
        <v>23</v>
      </c>
      <c r="S181" t="s">
        <v>24</v>
      </c>
      <c r="T181" t="s">
        <v>316</v>
      </c>
    </row>
    <row r="182" spans="1:20" x14ac:dyDescent="0.25">
      <c r="A182">
        <v>81</v>
      </c>
      <c r="B182" t="str">
        <f>HYPERLINK("https://imapinvasives.natureserve.org/imap/services/page/Presence/450704.html", "View")</f>
        <v>View</v>
      </c>
      <c r="C182">
        <v>450704</v>
      </c>
      <c r="D182">
        <v>450704</v>
      </c>
      <c r="E182" t="str">
        <f>HYPERLINK("http://imap3images.s3-website-us-east-1.amazonaws.com/450704/p/photourl1_2015_11_11_audbowe_3kl167ya.jpg", "View")</f>
        <v>View</v>
      </c>
      <c r="F182" t="s">
        <v>47</v>
      </c>
      <c r="G182" t="s">
        <v>48</v>
      </c>
      <c r="H182">
        <v>54811</v>
      </c>
      <c r="I182" t="str">
        <f>HYPERLINK("https://www.inaturalist.org/taxa/54811-Rhamnus-cathartica", "View")</f>
        <v>View</v>
      </c>
      <c r="J182" t="s">
        <v>47</v>
      </c>
      <c r="K182" t="s">
        <v>49</v>
      </c>
      <c r="L182">
        <v>54811</v>
      </c>
      <c r="M182">
        <v>17</v>
      </c>
      <c r="N182">
        <v>84.44</v>
      </c>
      <c r="P182">
        <v>1</v>
      </c>
      <c r="R182" t="s">
        <v>23</v>
      </c>
      <c r="S182" t="s">
        <v>24</v>
      </c>
      <c r="T182" t="s">
        <v>316</v>
      </c>
    </row>
    <row r="183" spans="1:20" x14ac:dyDescent="0.25">
      <c r="A183">
        <v>82</v>
      </c>
      <c r="B183" t="str">
        <f>HYPERLINK("https://imapinvasives.natureserve.org/imap/services/page/Presence/497573.html", "View")</f>
        <v>View</v>
      </c>
      <c r="C183">
        <v>497573</v>
      </c>
      <c r="D183">
        <v>497573</v>
      </c>
      <c r="E183" t="str">
        <f>HYPERLINK("http://imap3images.s3-website-us-east-1.amazonaws.com/497573/p/photourl1_2016_11_06_brebrown_epqceiyz.jpg", "View")</f>
        <v>View</v>
      </c>
      <c r="F183" t="s">
        <v>47</v>
      </c>
      <c r="G183" t="s">
        <v>48</v>
      </c>
      <c r="H183">
        <v>54811</v>
      </c>
      <c r="I183" t="str">
        <f>HYPERLINK("https://www.inaturalist.org/taxa/54811-Rhamnus-cathartica", "View")</f>
        <v>View</v>
      </c>
      <c r="J183" t="s">
        <v>47</v>
      </c>
      <c r="K183" t="s">
        <v>49</v>
      </c>
      <c r="L183">
        <v>54811</v>
      </c>
      <c r="M183">
        <v>17</v>
      </c>
      <c r="N183">
        <v>99.45</v>
      </c>
      <c r="P183">
        <v>1</v>
      </c>
      <c r="R183" t="s">
        <v>23</v>
      </c>
      <c r="S183" t="s">
        <v>24</v>
      </c>
      <c r="T183" t="s">
        <v>316</v>
      </c>
    </row>
    <row r="184" spans="1:20" x14ac:dyDescent="0.25">
      <c r="A184">
        <v>83</v>
      </c>
      <c r="B184" t="str">
        <f>HYPERLINK("https://imapinvasives.natureserve.org/imap/services/page/Presence/1149455.html", "View")</f>
        <v>View</v>
      </c>
      <c r="C184">
        <v>1149455</v>
      </c>
      <c r="D184">
        <v>1156267</v>
      </c>
      <c r="E184" t="str">
        <f>HYPERLINK("http://imap3images.s3-website-us-east-1.amazonaws.com/1156267/p/imap_app_photo_1625591427441.jpg", "View")</f>
        <v>View</v>
      </c>
      <c r="F184" t="s">
        <v>47</v>
      </c>
      <c r="G184" t="s">
        <v>48</v>
      </c>
      <c r="H184">
        <v>54811</v>
      </c>
      <c r="I184" t="str">
        <f>HYPERLINK("https://www.inaturalist.org/taxa/54811-Rhamnus-cathartica", "View")</f>
        <v>View</v>
      </c>
      <c r="J184" t="s">
        <v>47</v>
      </c>
      <c r="K184" t="s">
        <v>49</v>
      </c>
      <c r="L184">
        <v>54811</v>
      </c>
      <c r="M184">
        <v>35.619999999999997</v>
      </c>
      <c r="N184">
        <v>98.88</v>
      </c>
      <c r="P184">
        <v>1</v>
      </c>
      <c r="R184" t="s">
        <v>23</v>
      </c>
      <c r="S184" t="s">
        <v>24</v>
      </c>
      <c r="T184" t="s">
        <v>316</v>
      </c>
    </row>
    <row r="185" spans="1:20" x14ac:dyDescent="0.25">
      <c r="A185">
        <v>84</v>
      </c>
      <c r="B185" t="str">
        <f>HYPERLINK("https://imapinvasives.natureserve.org/imap/services/page/Presence/1034911.html", "View")</f>
        <v>View</v>
      </c>
      <c r="C185">
        <v>1034911</v>
      </c>
      <c r="D185">
        <v>1037424</v>
      </c>
      <c r="E185" t="str">
        <f>HYPERLINK("http://imap3images.s3-website-us-east-1.amazonaws.com/1037424/p/imap_app_photo_1571490521342.jpg", "View")</f>
        <v>View</v>
      </c>
      <c r="F185" t="s">
        <v>47</v>
      </c>
      <c r="G185" t="s">
        <v>48</v>
      </c>
      <c r="H185">
        <v>54811</v>
      </c>
      <c r="I185" t="str">
        <f>HYPERLINK("https://www.inaturalist.org/taxa/55972-Frangula-alnus", "View")</f>
        <v>View</v>
      </c>
      <c r="J185" t="s">
        <v>77</v>
      </c>
      <c r="K185" t="s">
        <v>78</v>
      </c>
      <c r="L185">
        <v>55972</v>
      </c>
      <c r="M185">
        <v>24.55</v>
      </c>
      <c r="N185">
        <v>98.98</v>
      </c>
      <c r="P185">
        <v>0</v>
      </c>
      <c r="R185" t="s">
        <v>27</v>
      </c>
      <c r="S185" t="s">
        <v>28</v>
      </c>
      <c r="T185" t="s">
        <v>317</v>
      </c>
    </row>
    <row r="186" spans="1:20" x14ac:dyDescent="0.25">
      <c r="A186">
        <v>85</v>
      </c>
      <c r="B186" t="str">
        <f>HYPERLINK("https://imapinvasives.natureserve.org/imap/services/page/Presence/1361262.html", "View")</f>
        <v>View</v>
      </c>
      <c r="C186">
        <v>1361262</v>
      </c>
      <c r="D186">
        <v>1378902</v>
      </c>
      <c r="E186" t="str">
        <f>HYPERLINK("http://imap3images.s3-website-us-east-1.amazonaws.com/1378902/p/imap_app_photo_1697669540469.jpg", "View")</f>
        <v>View</v>
      </c>
      <c r="F186" t="s">
        <v>47</v>
      </c>
      <c r="G186" t="s">
        <v>48</v>
      </c>
      <c r="H186">
        <v>54811</v>
      </c>
      <c r="I186" t="str">
        <f t="shared" ref="I186:I197" si="8">HYPERLINK("https://www.inaturalist.org/taxa/54811-Rhamnus-cathartica", "View")</f>
        <v>View</v>
      </c>
      <c r="J186" t="s">
        <v>47</v>
      </c>
      <c r="K186" t="s">
        <v>49</v>
      </c>
      <c r="L186">
        <v>54811</v>
      </c>
      <c r="M186">
        <v>26.85</v>
      </c>
      <c r="N186">
        <v>99.78</v>
      </c>
      <c r="P186">
        <v>1</v>
      </c>
      <c r="R186" t="s">
        <v>23</v>
      </c>
      <c r="S186" t="s">
        <v>24</v>
      </c>
      <c r="T186" t="s">
        <v>316</v>
      </c>
    </row>
    <row r="187" spans="1:20" x14ac:dyDescent="0.25">
      <c r="A187">
        <v>86</v>
      </c>
      <c r="B187" t="str">
        <f>HYPERLINK("https://imapinvasives.natureserve.org/imap/services/page/Presence/1361465.html", "View")</f>
        <v>View</v>
      </c>
      <c r="C187">
        <v>1361465</v>
      </c>
      <c r="D187">
        <v>1379106</v>
      </c>
      <c r="E187" t="str">
        <f>HYPERLINK("http://imap3images.s3-website-us-east-1.amazonaws.com/1379106/p/imap_app_photo_1697754884661.jpg", "View")</f>
        <v>View</v>
      </c>
      <c r="F187" t="s">
        <v>47</v>
      </c>
      <c r="G187" t="s">
        <v>48</v>
      </c>
      <c r="H187">
        <v>54811</v>
      </c>
      <c r="I187" t="str">
        <f t="shared" si="8"/>
        <v>View</v>
      </c>
      <c r="J187" t="s">
        <v>47</v>
      </c>
      <c r="K187" t="s">
        <v>49</v>
      </c>
      <c r="L187">
        <v>54811</v>
      </c>
      <c r="M187">
        <v>26.85</v>
      </c>
      <c r="N187">
        <v>97.57</v>
      </c>
      <c r="P187">
        <v>1</v>
      </c>
      <c r="R187" t="s">
        <v>23</v>
      </c>
      <c r="S187" t="s">
        <v>24</v>
      </c>
      <c r="T187" t="s">
        <v>316</v>
      </c>
    </row>
    <row r="188" spans="1:20" x14ac:dyDescent="0.25">
      <c r="A188">
        <v>87</v>
      </c>
      <c r="B188" t="str">
        <f>HYPERLINK("https://imapinvasives.natureserve.org/imap/services/page/Presence/1024415.html", "View")</f>
        <v>View</v>
      </c>
      <c r="C188">
        <v>1024415</v>
      </c>
      <c r="D188">
        <v>1025168</v>
      </c>
      <c r="E188" t="str">
        <f>HYPERLINK("http://imap3images.s3-website-us-east-1.amazonaws.com/1025168/p/Photo2-20180719-153516.jpg", "View")</f>
        <v>View</v>
      </c>
      <c r="F188" t="s">
        <v>47</v>
      </c>
      <c r="G188" t="s">
        <v>48</v>
      </c>
      <c r="H188">
        <v>54811</v>
      </c>
      <c r="I188" t="str">
        <f t="shared" si="8"/>
        <v>View</v>
      </c>
      <c r="J188" t="s">
        <v>47</v>
      </c>
      <c r="K188" t="s">
        <v>49</v>
      </c>
      <c r="L188">
        <v>54811</v>
      </c>
      <c r="M188">
        <v>47.8</v>
      </c>
      <c r="N188">
        <v>99.02</v>
      </c>
      <c r="P188">
        <v>1</v>
      </c>
      <c r="R188" t="s">
        <v>23</v>
      </c>
      <c r="S188" t="s">
        <v>24</v>
      </c>
      <c r="T188" t="s">
        <v>316</v>
      </c>
    </row>
    <row r="189" spans="1:20" x14ac:dyDescent="0.25">
      <c r="A189">
        <v>88</v>
      </c>
      <c r="B189" t="str">
        <f>HYPERLINK("https://imapinvasives.natureserve.org/imap/services/page/Presence/1024006.html", "View")</f>
        <v>View</v>
      </c>
      <c r="C189">
        <v>1024006</v>
      </c>
      <c r="D189">
        <v>1024669</v>
      </c>
      <c r="E189" t="str">
        <f>HYPERLINK("http://imap3images.s3-website-us-east-1.amazonaws.com/1024669/p/imap_app_photo_1564677888293.jpg", "View")</f>
        <v>View</v>
      </c>
      <c r="F189" t="s">
        <v>47</v>
      </c>
      <c r="G189" t="s">
        <v>48</v>
      </c>
      <c r="H189">
        <v>54811</v>
      </c>
      <c r="I189" t="str">
        <f t="shared" si="8"/>
        <v>View</v>
      </c>
      <c r="J189" t="s">
        <v>47</v>
      </c>
      <c r="K189" t="s">
        <v>49</v>
      </c>
      <c r="L189">
        <v>54811</v>
      </c>
      <c r="M189">
        <v>53.22</v>
      </c>
      <c r="N189">
        <v>99.65</v>
      </c>
      <c r="P189">
        <v>1</v>
      </c>
      <c r="R189" t="s">
        <v>23</v>
      </c>
      <c r="S189" t="s">
        <v>24</v>
      </c>
      <c r="T189" t="s">
        <v>316</v>
      </c>
    </row>
    <row r="190" spans="1:20" x14ac:dyDescent="0.25">
      <c r="A190">
        <v>89</v>
      </c>
      <c r="B190" t="str">
        <f>HYPERLINK("https://imapinvasives.natureserve.org/imap/services/page/Presence/528387.html", "View")</f>
        <v>View</v>
      </c>
      <c r="C190">
        <v>528387</v>
      </c>
      <c r="D190">
        <v>528387</v>
      </c>
      <c r="E190" t="str">
        <f>HYPERLINK("http://imap3images.s3-website-us-east-1.amazonaws.com/528387/p/photourl1_2018_07_12_emibonk_tdg1i986.jpg", "View")</f>
        <v>View</v>
      </c>
      <c r="F190" t="s">
        <v>47</v>
      </c>
      <c r="G190" t="s">
        <v>48</v>
      </c>
      <c r="H190">
        <v>54811</v>
      </c>
      <c r="I190" t="str">
        <f t="shared" si="8"/>
        <v>View</v>
      </c>
      <c r="J190" t="s">
        <v>47</v>
      </c>
      <c r="K190" t="s">
        <v>49</v>
      </c>
      <c r="L190">
        <v>54811</v>
      </c>
      <c r="M190">
        <v>40.97</v>
      </c>
      <c r="N190">
        <v>99.06</v>
      </c>
      <c r="P190">
        <v>1</v>
      </c>
      <c r="R190" t="s">
        <v>23</v>
      </c>
      <c r="S190" t="s">
        <v>24</v>
      </c>
      <c r="T190" t="s">
        <v>316</v>
      </c>
    </row>
    <row r="191" spans="1:20" x14ac:dyDescent="0.25">
      <c r="A191">
        <v>90</v>
      </c>
      <c r="B191" t="str">
        <f>HYPERLINK("https://imapinvasives.natureserve.org/imap/services/page/Presence/530106.html", "View")</f>
        <v>View</v>
      </c>
      <c r="C191">
        <v>530106</v>
      </c>
      <c r="D191">
        <v>530106</v>
      </c>
      <c r="E191" t="str">
        <f>HYPERLINK("http://imap3images.s3-website-us-east-1.amazonaws.com/530106/p/photourl1_2018_08_16_brirogers_admin_yhkco79a.jpg", "View")</f>
        <v>View</v>
      </c>
      <c r="F191" t="s">
        <v>47</v>
      </c>
      <c r="G191" t="s">
        <v>48</v>
      </c>
      <c r="H191">
        <v>54811</v>
      </c>
      <c r="I191" t="str">
        <f t="shared" si="8"/>
        <v>View</v>
      </c>
      <c r="J191" t="s">
        <v>47</v>
      </c>
      <c r="K191" t="s">
        <v>49</v>
      </c>
      <c r="L191">
        <v>54811</v>
      </c>
      <c r="M191">
        <v>40.97</v>
      </c>
      <c r="N191">
        <v>92.17</v>
      </c>
      <c r="P191">
        <v>1</v>
      </c>
      <c r="R191" t="s">
        <v>23</v>
      </c>
      <c r="S191" t="s">
        <v>24</v>
      </c>
      <c r="T191" t="s">
        <v>316</v>
      </c>
    </row>
    <row r="192" spans="1:20" x14ac:dyDescent="0.25">
      <c r="A192">
        <v>91</v>
      </c>
      <c r="B192" t="str">
        <f>HYPERLINK("https://imapinvasives.natureserve.org/imap/services/page/Presence/1015072.html", "View")</f>
        <v>View</v>
      </c>
      <c r="C192">
        <v>1015072</v>
      </c>
      <c r="D192">
        <v>1015404</v>
      </c>
      <c r="E192" t="str">
        <f>HYPERLINK("http://imap3images.s3-website-us-east-1.amazonaws.com/1015404/p/DSCN7447.JPG", "View")</f>
        <v>View</v>
      </c>
      <c r="F192" t="s">
        <v>47</v>
      </c>
      <c r="G192" t="s">
        <v>48</v>
      </c>
      <c r="H192">
        <v>54811</v>
      </c>
      <c r="I192" t="str">
        <f t="shared" si="8"/>
        <v>View</v>
      </c>
      <c r="J192" t="s">
        <v>47</v>
      </c>
      <c r="K192" t="s">
        <v>49</v>
      </c>
      <c r="L192">
        <v>54811</v>
      </c>
      <c r="M192">
        <v>29.01</v>
      </c>
      <c r="N192">
        <v>22.15</v>
      </c>
      <c r="P192">
        <v>1</v>
      </c>
      <c r="R192" t="s">
        <v>23</v>
      </c>
      <c r="S192" t="s">
        <v>79</v>
      </c>
      <c r="T192" t="s">
        <v>317</v>
      </c>
    </row>
    <row r="193" spans="1:20" x14ac:dyDescent="0.25">
      <c r="A193">
        <v>92</v>
      </c>
      <c r="B193" t="str">
        <f>HYPERLINK("https://imapinvasives.natureserve.org/imap/services/page/Presence/1349394.html", "View")</f>
        <v>View</v>
      </c>
      <c r="C193">
        <v>1349394</v>
      </c>
      <c r="D193">
        <v>1366316</v>
      </c>
      <c r="E193" t="str">
        <f>HYPERLINK("http://imap3images.s3-website-us-east-1.amazonaws.com/1366316/p/Photo_2.jpg", "View")</f>
        <v>View</v>
      </c>
      <c r="F193" t="s">
        <v>47</v>
      </c>
      <c r="G193" t="s">
        <v>48</v>
      </c>
      <c r="H193">
        <v>54811</v>
      </c>
      <c r="I193" t="str">
        <f t="shared" si="8"/>
        <v>View</v>
      </c>
      <c r="J193" t="s">
        <v>47</v>
      </c>
      <c r="K193" t="s">
        <v>49</v>
      </c>
      <c r="L193">
        <v>54811</v>
      </c>
      <c r="M193">
        <v>29.01</v>
      </c>
      <c r="N193">
        <v>19.48</v>
      </c>
      <c r="P193">
        <v>1</v>
      </c>
      <c r="R193" t="s">
        <v>23</v>
      </c>
      <c r="S193" t="s">
        <v>79</v>
      </c>
      <c r="T193" t="s">
        <v>317</v>
      </c>
    </row>
    <row r="194" spans="1:20" x14ac:dyDescent="0.25">
      <c r="A194">
        <v>93</v>
      </c>
      <c r="B194" t="str">
        <f>HYPERLINK("https://imapinvasives.natureserve.org/imap/services/page/Presence/530410.html", "View")</f>
        <v>View</v>
      </c>
      <c r="C194">
        <v>530410</v>
      </c>
      <c r="D194">
        <v>530410</v>
      </c>
      <c r="E194" t="str">
        <f>HYPERLINK("http://imap3images.s3-website-us-east-1.amazonaws.com/530410/p/photourl1_2018_08_21_abipierson_hm3ydd04.jpg", "View")</f>
        <v>View</v>
      </c>
      <c r="F194" t="s">
        <v>47</v>
      </c>
      <c r="G194" t="s">
        <v>48</v>
      </c>
      <c r="H194">
        <v>54811</v>
      </c>
      <c r="I194" t="str">
        <f t="shared" si="8"/>
        <v>View</v>
      </c>
      <c r="J194" t="s">
        <v>47</v>
      </c>
      <c r="K194" t="s">
        <v>49</v>
      </c>
      <c r="L194">
        <v>54811</v>
      </c>
      <c r="M194">
        <v>29.1</v>
      </c>
      <c r="N194">
        <v>99.79</v>
      </c>
      <c r="P194">
        <v>1</v>
      </c>
      <c r="R194" t="s">
        <v>23</v>
      </c>
      <c r="S194" t="s">
        <v>24</v>
      </c>
      <c r="T194" t="s">
        <v>316</v>
      </c>
    </row>
    <row r="195" spans="1:20" x14ac:dyDescent="0.25">
      <c r="A195">
        <v>94</v>
      </c>
      <c r="B195" t="str">
        <f>HYPERLINK("https://imapinvasives.natureserve.org/imap/services/page/Presence/444053.html", "View")</f>
        <v>View</v>
      </c>
      <c r="C195">
        <v>444053</v>
      </c>
      <c r="D195">
        <v>444053</v>
      </c>
      <c r="E195" t="str">
        <f>HYPERLINK("http://imap3images.s3-website-us-east-1.amazonaws.com/444053/p/photourl1_2015_06_03_emistaychock_r3bhyhv8.jpg", "View")</f>
        <v>View</v>
      </c>
      <c r="F195" t="s">
        <v>47</v>
      </c>
      <c r="G195" t="s">
        <v>48</v>
      </c>
      <c r="H195">
        <v>54811</v>
      </c>
      <c r="I195" t="str">
        <f t="shared" si="8"/>
        <v>View</v>
      </c>
      <c r="J195" t="s">
        <v>47</v>
      </c>
      <c r="K195" t="s">
        <v>49</v>
      </c>
      <c r="L195">
        <v>54811</v>
      </c>
      <c r="M195">
        <v>29.1</v>
      </c>
      <c r="N195">
        <v>99.93</v>
      </c>
      <c r="P195">
        <v>1</v>
      </c>
      <c r="R195" t="s">
        <v>23</v>
      </c>
      <c r="S195" t="s">
        <v>24</v>
      </c>
      <c r="T195" t="s">
        <v>316</v>
      </c>
    </row>
    <row r="196" spans="1:20" x14ac:dyDescent="0.25">
      <c r="A196">
        <v>95</v>
      </c>
      <c r="B196" t="str">
        <f>HYPERLINK("https://imapinvasives.natureserve.org/imap/services/page/Presence/529143.html", "View")</f>
        <v>View</v>
      </c>
      <c r="C196">
        <v>529143</v>
      </c>
      <c r="D196">
        <v>529143</v>
      </c>
      <c r="E196" t="str">
        <f>HYPERLINK("http://imap3images.s3-website-us-east-1.amazonaws.com/529143/p/photourl1_2018_07_25_rebmann_pqp4iw73.jpg", "View")</f>
        <v>View</v>
      </c>
      <c r="F196" t="s">
        <v>47</v>
      </c>
      <c r="G196" t="s">
        <v>48</v>
      </c>
      <c r="H196">
        <v>54811</v>
      </c>
      <c r="I196" t="str">
        <f t="shared" si="8"/>
        <v>View</v>
      </c>
      <c r="J196" t="s">
        <v>47</v>
      </c>
      <c r="K196" t="s">
        <v>49</v>
      </c>
      <c r="L196">
        <v>54811</v>
      </c>
      <c r="M196">
        <v>38.630000000000003</v>
      </c>
      <c r="N196">
        <v>99.14</v>
      </c>
      <c r="P196">
        <v>1</v>
      </c>
      <c r="R196" t="s">
        <v>23</v>
      </c>
      <c r="S196" t="s">
        <v>24</v>
      </c>
      <c r="T196" t="s">
        <v>316</v>
      </c>
    </row>
    <row r="197" spans="1:20" x14ac:dyDescent="0.25">
      <c r="A197">
        <v>96</v>
      </c>
      <c r="B197" t="str">
        <f>HYPERLINK("https://imapinvasives.natureserve.org/imap/services/page/Presence/1019078.html", "View")</f>
        <v>View</v>
      </c>
      <c r="C197">
        <v>1019078</v>
      </c>
      <c r="D197">
        <v>1019603</v>
      </c>
      <c r="E197" t="str">
        <f>HYPERLINK("http://imap3images.s3-website-us-east-1.amazonaws.com/1019603/p/imap_app_photo_1562161840743.jpg", "View")</f>
        <v>View</v>
      </c>
      <c r="F197" t="s">
        <v>47</v>
      </c>
      <c r="G197" t="s">
        <v>48</v>
      </c>
      <c r="H197">
        <v>54811</v>
      </c>
      <c r="I197" t="str">
        <f t="shared" si="8"/>
        <v>View</v>
      </c>
      <c r="J197" t="s">
        <v>47</v>
      </c>
      <c r="K197" t="s">
        <v>49</v>
      </c>
      <c r="L197">
        <v>54811</v>
      </c>
      <c r="M197">
        <v>19.760000000000002</v>
      </c>
      <c r="N197">
        <v>99.75</v>
      </c>
      <c r="P197">
        <v>1</v>
      </c>
      <c r="R197" t="s">
        <v>23</v>
      </c>
      <c r="S197" t="s">
        <v>24</v>
      </c>
      <c r="T197" t="s">
        <v>316</v>
      </c>
    </row>
    <row r="198" spans="1:20" x14ac:dyDescent="0.25">
      <c r="A198">
        <v>97</v>
      </c>
      <c r="B198" t="str">
        <f>HYPERLINK("https://imapinvasives.natureserve.org/imap/services/page/Presence/533247.html", "View")</f>
        <v>View</v>
      </c>
      <c r="C198">
        <v>533247</v>
      </c>
      <c r="D198">
        <v>533247</v>
      </c>
      <c r="E198" t="str">
        <f>HYPERLINK("http://imap3images.s3-website-us-east-1.amazonaws.com/533247/p/photourl1_2019_03_06_jaywhite_fh3xjwdq.jpg", "View")</f>
        <v>View</v>
      </c>
      <c r="F198" t="s">
        <v>47</v>
      </c>
      <c r="G198" t="s">
        <v>48</v>
      </c>
      <c r="H198">
        <v>54811</v>
      </c>
      <c r="I198" t="str">
        <f>HYPERLINK("https://www.inaturalist.org/taxa/1148360-Sorbus-sibirica", "View")</f>
        <v>View</v>
      </c>
      <c r="J198" t="s">
        <v>80</v>
      </c>
      <c r="K198" t="s">
        <v>81</v>
      </c>
      <c r="L198">
        <v>1148360</v>
      </c>
      <c r="M198">
        <v>0</v>
      </c>
      <c r="N198">
        <v>13.09</v>
      </c>
      <c r="P198">
        <v>0</v>
      </c>
      <c r="R198" t="s">
        <v>40</v>
      </c>
      <c r="S198" t="s">
        <v>64</v>
      </c>
      <c r="T198" t="s">
        <v>317</v>
      </c>
    </row>
    <row r="199" spans="1:20" x14ac:dyDescent="0.25">
      <c r="A199">
        <v>98</v>
      </c>
      <c r="B199" t="str">
        <f>HYPERLINK("https://imapinvasives.natureserve.org/imap/services/page/Presence/1024393.html", "View")</f>
        <v>View</v>
      </c>
      <c r="C199">
        <v>1024393</v>
      </c>
      <c r="D199">
        <v>1025146</v>
      </c>
      <c r="E199" t="str">
        <f>HYPERLINK("http://imap3images.s3-website-us-east-1.amazonaws.com/1025146/p/Photo2-20180720-144853.jpg", "View")</f>
        <v>View</v>
      </c>
      <c r="F199" t="s">
        <v>47</v>
      </c>
      <c r="G199" t="s">
        <v>48</v>
      </c>
      <c r="H199">
        <v>54811</v>
      </c>
      <c r="I199" t="str">
        <f>HYPERLINK("https://www.inaturalist.org/taxa/54811-Rhamnus-cathartica", "View")</f>
        <v>View</v>
      </c>
      <c r="J199" t="s">
        <v>47</v>
      </c>
      <c r="K199" t="s">
        <v>49</v>
      </c>
      <c r="L199">
        <v>54811</v>
      </c>
      <c r="M199">
        <v>49.59</v>
      </c>
      <c r="N199">
        <v>99.41</v>
      </c>
      <c r="P199">
        <v>1</v>
      </c>
      <c r="R199" t="s">
        <v>23</v>
      </c>
      <c r="S199" t="s">
        <v>24</v>
      </c>
      <c r="T199" t="s">
        <v>316</v>
      </c>
    </row>
    <row r="200" spans="1:20" x14ac:dyDescent="0.25">
      <c r="A200">
        <v>99</v>
      </c>
      <c r="B200" t="str">
        <f>HYPERLINK("https://imapinvasives.natureserve.org/imap/services/page/Presence/491507.html", "View")</f>
        <v>View</v>
      </c>
      <c r="C200">
        <v>491507</v>
      </c>
      <c r="D200">
        <v>491507</v>
      </c>
      <c r="E200" t="str">
        <f>HYPERLINK("http://imap3images.s3-website-us-east-1.amazonaws.com/491507/p/photourl1_2016_06_09_laugailor_33topkeu.jpg", "View")</f>
        <v>View</v>
      </c>
      <c r="F200" t="s">
        <v>47</v>
      </c>
      <c r="G200" t="s">
        <v>48</v>
      </c>
      <c r="H200">
        <v>54811</v>
      </c>
      <c r="I200" t="str">
        <f>HYPERLINK("https://www.inaturalist.org/taxa/54811-Rhamnus-cathartica", "View")</f>
        <v>View</v>
      </c>
      <c r="J200" t="s">
        <v>47</v>
      </c>
      <c r="K200" t="s">
        <v>49</v>
      </c>
      <c r="L200">
        <v>54811</v>
      </c>
      <c r="M200">
        <v>39.200000000000003</v>
      </c>
      <c r="N200">
        <v>98.08</v>
      </c>
      <c r="P200">
        <v>1</v>
      </c>
      <c r="R200" t="s">
        <v>23</v>
      </c>
      <c r="S200" t="s">
        <v>24</v>
      </c>
      <c r="T200" t="s">
        <v>316</v>
      </c>
    </row>
    <row r="201" spans="1:20" x14ac:dyDescent="0.25">
      <c r="A201">
        <v>100</v>
      </c>
      <c r="B201" t="str">
        <f>HYPERLINK("https://imapinvasives.natureserve.org/imap/services/page/Presence/1289172.html", "View")</f>
        <v>View</v>
      </c>
      <c r="C201">
        <v>1289172</v>
      </c>
      <c r="D201">
        <v>1299267</v>
      </c>
      <c r="E201" t="str">
        <f>HYPERLINK("http://imap3images.s3-website-us-east-1.amazonaws.com/1299267/p/Photo3-20220824-222150.jpg", "View")</f>
        <v>View</v>
      </c>
      <c r="F201" t="s">
        <v>47</v>
      </c>
      <c r="G201" t="s">
        <v>48</v>
      </c>
      <c r="H201">
        <v>54811</v>
      </c>
      <c r="I201" t="str">
        <f>HYPERLINK("https://www.inaturalist.org/taxa/54811-Rhamnus-cathartica", "View")</f>
        <v>View</v>
      </c>
      <c r="J201" t="s">
        <v>47</v>
      </c>
      <c r="K201" t="s">
        <v>49</v>
      </c>
      <c r="L201">
        <v>54811</v>
      </c>
      <c r="M201">
        <v>38.630000000000003</v>
      </c>
      <c r="N201">
        <v>25.44</v>
      </c>
      <c r="P201">
        <v>1</v>
      </c>
      <c r="R201" t="s">
        <v>23</v>
      </c>
      <c r="S201" t="s">
        <v>79</v>
      </c>
      <c r="T201" t="s">
        <v>317</v>
      </c>
    </row>
    <row r="202" spans="1:20" x14ac:dyDescent="0.25">
      <c r="A202">
        <v>1</v>
      </c>
      <c r="B202" t="str">
        <f>HYPERLINK("https://imapinvasives.natureserve.org/imap/services/page/Presence/1013891.html", "View")</f>
        <v>View</v>
      </c>
      <c r="C202">
        <v>1013891</v>
      </c>
      <c r="D202">
        <v>1014154</v>
      </c>
      <c r="E202" t="str">
        <f>HYPERLINK("http://imap3images.s3-website-us-east-1.amazonaws.com/1014154/p/imap_app_photo_1558378755487.jpg", "View")</f>
        <v>View</v>
      </c>
      <c r="F202" t="s">
        <v>82</v>
      </c>
      <c r="G202" t="s">
        <v>83</v>
      </c>
      <c r="H202">
        <v>56061</v>
      </c>
      <c r="I202" t="str">
        <f>HYPERLINK("https://www.inaturalist.org/taxa/56061-Alliaria-petiolata", "View")</f>
        <v>View</v>
      </c>
      <c r="J202" t="s">
        <v>82</v>
      </c>
      <c r="K202" t="s">
        <v>84</v>
      </c>
      <c r="L202">
        <v>56061</v>
      </c>
      <c r="M202">
        <v>18.86</v>
      </c>
      <c r="N202">
        <v>97.61</v>
      </c>
      <c r="O202">
        <v>1</v>
      </c>
      <c r="P202">
        <v>1</v>
      </c>
      <c r="R202" t="s">
        <v>23</v>
      </c>
      <c r="S202" t="s">
        <v>24</v>
      </c>
      <c r="T202" t="s">
        <v>316</v>
      </c>
    </row>
    <row r="203" spans="1:20" x14ac:dyDescent="0.25">
      <c r="A203">
        <v>2</v>
      </c>
      <c r="B203" t="str">
        <f>HYPERLINK("https://imapinvasives.natureserve.org/imap/services/page/Presence/1013410.html", "View")</f>
        <v>View</v>
      </c>
      <c r="C203">
        <v>1013410</v>
      </c>
      <c r="D203">
        <v>1013556</v>
      </c>
      <c r="E203" t="str">
        <f>HYPERLINK("http://imap3images.s3-website-us-east-1.amazonaws.com/1013556/p/imap_app_photo_1557334581275.jpg", "View")</f>
        <v>View</v>
      </c>
      <c r="F203" t="s">
        <v>82</v>
      </c>
      <c r="G203" t="s">
        <v>83</v>
      </c>
      <c r="H203">
        <v>56061</v>
      </c>
      <c r="I203" t="str">
        <f>HYPERLINK("https://www.inaturalist.org/taxa/56061-Alliaria-petiolata", "View")</f>
        <v>View</v>
      </c>
      <c r="J203" t="s">
        <v>82</v>
      </c>
      <c r="K203" t="s">
        <v>84</v>
      </c>
      <c r="L203">
        <v>56061</v>
      </c>
      <c r="M203">
        <v>46.51</v>
      </c>
      <c r="N203">
        <v>99.78</v>
      </c>
      <c r="O203">
        <v>1</v>
      </c>
      <c r="P203">
        <v>1</v>
      </c>
      <c r="R203" t="s">
        <v>23</v>
      </c>
      <c r="S203" t="s">
        <v>24</v>
      </c>
      <c r="T203" t="s">
        <v>316</v>
      </c>
    </row>
    <row r="204" spans="1:20" x14ac:dyDescent="0.25">
      <c r="A204">
        <v>3</v>
      </c>
      <c r="B204" t="str">
        <f>HYPERLINK("https://imapinvasives.natureserve.org/imap/services/page/Presence/532728.html", "View")</f>
        <v>View</v>
      </c>
      <c r="C204">
        <v>532728</v>
      </c>
      <c r="D204">
        <v>532728</v>
      </c>
      <c r="E204" t="str">
        <f>HYPERLINK("http://imap3images.s3-website-us-east-1.amazonaws.com/532728/p/photourl1_2018_12_15_steshope_c2f4sdym.jpg", "View")</f>
        <v>View</v>
      </c>
      <c r="F204" t="s">
        <v>82</v>
      </c>
      <c r="G204" t="s">
        <v>83</v>
      </c>
      <c r="H204">
        <v>56061</v>
      </c>
      <c r="I204" t="str">
        <f>HYPERLINK("https://www.inaturalist.org/taxa/56061-Alliaria-petiolata", "View")</f>
        <v>View</v>
      </c>
      <c r="J204" t="s">
        <v>82</v>
      </c>
      <c r="K204" t="s">
        <v>84</v>
      </c>
      <c r="L204">
        <v>56061</v>
      </c>
      <c r="M204">
        <v>42.62</v>
      </c>
      <c r="N204">
        <v>99.55</v>
      </c>
      <c r="O204">
        <v>1</v>
      </c>
      <c r="P204">
        <v>1</v>
      </c>
      <c r="R204" t="s">
        <v>23</v>
      </c>
      <c r="S204" t="s">
        <v>24</v>
      </c>
      <c r="T204" t="s">
        <v>316</v>
      </c>
    </row>
    <row r="205" spans="1:20" x14ac:dyDescent="0.25">
      <c r="A205">
        <v>4</v>
      </c>
      <c r="B205" t="str">
        <f>HYPERLINK("https://imapinvasives.natureserve.org/imap/services/page/Presence/1332167.html", "View")</f>
        <v>View</v>
      </c>
      <c r="C205">
        <v>1332167</v>
      </c>
      <c r="D205">
        <v>1345926</v>
      </c>
      <c r="E205" t="str">
        <f>HYPERLINK("http://imap3images.s3-website-us-east-1.amazonaws.com/1345926/p/imap_app_photo_1685139083134.jpg", "View")</f>
        <v>View</v>
      </c>
      <c r="F205" t="s">
        <v>82</v>
      </c>
      <c r="G205" t="s">
        <v>83</v>
      </c>
      <c r="H205">
        <v>56061</v>
      </c>
      <c r="I205" t="str">
        <f>HYPERLINK("https://www.inaturalist.org/taxa/56061-Alliaria-petiolata", "View")</f>
        <v>View</v>
      </c>
      <c r="J205" t="s">
        <v>82</v>
      </c>
      <c r="K205" t="s">
        <v>84</v>
      </c>
      <c r="L205">
        <v>56061</v>
      </c>
      <c r="M205">
        <v>51.26</v>
      </c>
      <c r="N205">
        <v>74.63</v>
      </c>
      <c r="O205">
        <v>1</v>
      </c>
      <c r="P205">
        <v>1</v>
      </c>
      <c r="R205" t="s">
        <v>23</v>
      </c>
      <c r="S205" t="s">
        <v>24</v>
      </c>
      <c r="T205" t="s">
        <v>316</v>
      </c>
    </row>
    <row r="206" spans="1:20" x14ac:dyDescent="0.25">
      <c r="A206">
        <v>5</v>
      </c>
      <c r="B206" t="str">
        <f>HYPERLINK("https://imapinvasives.natureserve.org/imap/services/page/Presence/1435896.html", "View")</f>
        <v>View</v>
      </c>
      <c r="C206">
        <v>1435896</v>
      </c>
      <c r="D206">
        <v>1449649</v>
      </c>
      <c r="E206" t="str">
        <f>HYPERLINK("http://imap3images.s3-website-us-east-1.amazonaws.com/1449649/p/Photo_1.jpg", "View")</f>
        <v>View</v>
      </c>
      <c r="F206" t="s">
        <v>82</v>
      </c>
      <c r="G206" t="s">
        <v>83</v>
      </c>
      <c r="H206">
        <v>56061</v>
      </c>
      <c r="I206" t="str">
        <f>HYPERLINK("https://www.inaturalist.org/taxa/56061-Alliaria-petiolata", "View")</f>
        <v>View</v>
      </c>
      <c r="J206" t="s">
        <v>82</v>
      </c>
      <c r="K206" t="s">
        <v>84</v>
      </c>
      <c r="L206">
        <v>56061</v>
      </c>
      <c r="M206">
        <v>69.930000000000007</v>
      </c>
      <c r="N206">
        <v>19.23</v>
      </c>
      <c r="O206">
        <v>1</v>
      </c>
      <c r="P206">
        <v>1</v>
      </c>
      <c r="R206" t="s">
        <v>23</v>
      </c>
      <c r="S206" t="s">
        <v>34</v>
      </c>
      <c r="T206" t="s">
        <v>317</v>
      </c>
    </row>
    <row r="207" spans="1:20" x14ac:dyDescent="0.25">
      <c r="A207">
        <v>6</v>
      </c>
      <c r="B207" t="str">
        <f>HYPERLINK("https://imapinvasives.natureserve.org/imap/services/page/Presence/329182.html", "View")</f>
        <v>View</v>
      </c>
      <c r="C207">
        <v>329182</v>
      </c>
      <c r="D207">
        <v>329182</v>
      </c>
      <c r="E207" t="str">
        <f>HYPERLINK("http://imap3images.s3-website-us-east-1.amazonaws.com/329182/p/NY-313508U_alliaria_petiolata_normal_6an9oehb91efojdoo25.jpg", "View")</f>
        <v>View</v>
      </c>
      <c r="F207" t="s">
        <v>82</v>
      </c>
      <c r="G207" t="s">
        <v>83</v>
      </c>
      <c r="H207">
        <v>56061</v>
      </c>
      <c r="I207" t="str">
        <f>HYPERLINK("https://www.inaturalist.org/taxa/528202-Alangium-platanifolium", "View")</f>
        <v>View</v>
      </c>
      <c r="J207" t="s">
        <v>85</v>
      </c>
      <c r="K207" t="s">
        <v>86</v>
      </c>
      <c r="L207">
        <v>528202</v>
      </c>
      <c r="M207">
        <v>0</v>
      </c>
      <c r="N207">
        <v>5.12</v>
      </c>
      <c r="O207">
        <v>0</v>
      </c>
      <c r="P207">
        <v>0</v>
      </c>
      <c r="R207" t="s">
        <v>29</v>
      </c>
      <c r="S207" t="s">
        <v>28</v>
      </c>
      <c r="T207" t="s">
        <v>317</v>
      </c>
    </row>
    <row r="208" spans="1:20" x14ac:dyDescent="0.25">
      <c r="A208">
        <v>7</v>
      </c>
      <c r="B208" t="str">
        <f>HYPERLINK("https://imapinvasives.natureserve.org/imap/services/page/Presence/527088.html", "View")</f>
        <v>View</v>
      </c>
      <c r="C208">
        <v>527088</v>
      </c>
      <c r="D208">
        <v>527088</v>
      </c>
      <c r="E208" t="str">
        <f>HYPERLINK("http://imap3images.s3-website-us-east-1.amazonaws.com/527088/p/photourl1_2018_06_19_lexlill_htaia8ts.jpg", "View")</f>
        <v>View</v>
      </c>
      <c r="F208" t="s">
        <v>82</v>
      </c>
      <c r="G208" t="s">
        <v>83</v>
      </c>
      <c r="H208">
        <v>56061</v>
      </c>
      <c r="I208" t="str">
        <f t="shared" ref="I208:I221" si="9">HYPERLINK("https://www.inaturalist.org/taxa/56061-Alliaria-petiolata", "View")</f>
        <v>View</v>
      </c>
      <c r="J208" t="s">
        <v>82</v>
      </c>
      <c r="K208" t="s">
        <v>84</v>
      </c>
      <c r="L208">
        <v>56061</v>
      </c>
      <c r="M208">
        <v>61.18</v>
      </c>
      <c r="N208">
        <v>96.94</v>
      </c>
      <c r="O208">
        <v>1</v>
      </c>
      <c r="P208">
        <v>1</v>
      </c>
      <c r="R208" t="s">
        <v>23</v>
      </c>
      <c r="S208" t="s">
        <v>24</v>
      </c>
      <c r="T208" t="s">
        <v>316</v>
      </c>
    </row>
    <row r="209" spans="1:20" x14ac:dyDescent="0.25">
      <c r="A209">
        <v>8</v>
      </c>
      <c r="B209" t="str">
        <f>HYPERLINK("https://imapinvasives.natureserve.org/imap/services/page/Presence/527393.html", "View")</f>
        <v>View</v>
      </c>
      <c r="C209">
        <v>527393</v>
      </c>
      <c r="D209">
        <v>527393</v>
      </c>
      <c r="E209" t="str">
        <f>HYPERLINK("http://imap3images.s3-website-us-east-1.amazonaws.com/527393/p/photourl1_2018_06_22_kricucolo_ae0nudzh.jpg", "View")</f>
        <v>View</v>
      </c>
      <c r="F209" t="s">
        <v>82</v>
      </c>
      <c r="G209" t="s">
        <v>83</v>
      </c>
      <c r="H209">
        <v>56061</v>
      </c>
      <c r="I209" t="str">
        <f t="shared" si="9"/>
        <v>View</v>
      </c>
      <c r="J209" t="s">
        <v>82</v>
      </c>
      <c r="K209" t="s">
        <v>84</v>
      </c>
      <c r="L209">
        <v>56061</v>
      </c>
      <c r="M209">
        <v>33.21</v>
      </c>
      <c r="N209">
        <v>28.14</v>
      </c>
      <c r="O209">
        <v>1</v>
      </c>
      <c r="P209">
        <v>1</v>
      </c>
      <c r="R209" t="s">
        <v>23</v>
      </c>
      <c r="S209" t="s">
        <v>34</v>
      </c>
      <c r="T209" t="s">
        <v>317</v>
      </c>
    </row>
    <row r="210" spans="1:20" x14ac:dyDescent="0.25">
      <c r="A210">
        <v>9</v>
      </c>
      <c r="B210" t="str">
        <f>HYPERLINK("https://imapinvasives.natureserve.org/imap/services/page/Presence/1136956.html", "View")</f>
        <v>View</v>
      </c>
      <c r="C210">
        <v>1136956</v>
      </c>
      <c r="D210">
        <v>1143372</v>
      </c>
      <c r="E210" t="str">
        <f>HYPERLINK("http://imap3images.s3-website-us-east-1.amazonaws.com/1143372/p/imap_app_photo_1620671610233.jpg", "View")</f>
        <v>View</v>
      </c>
      <c r="F210" t="s">
        <v>82</v>
      </c>
      <c r="G210" t="s">
        <v>83</v>
      </c>
      <c r="H210">
        <v>56061</v>
      </c>
      <c r="I210" t="str">
        <f t="shared" si="9"/>
        <v>View</v>
      </c>
      <c r="J210" t="s">
        <v>82</v>
      </c>
      <c r="K210" t="s">
        <v>84</v>
      </c>
      <c r="L210">
        <v>56061</v>
      </c>
      <c r="M210">
        <v>33.659999999999997</v>
      </c>
      <c r="N210">
        <v>99.92</v>
      </c>
      <c r="O210">
        <v>1</v>
      </c>
      <c r="P210">
        <v>1</v>
      </c>
      <c r="R210" t="s">
        <v>23</v>
      </c>
      <c r="S210" t="s">
        <v>24</v>
      </c>
      <c r="T210" t="s">
        <v>316</v>
      </c>
    </row>
    <row r="211" spans="1:20" x14ac:dyDescent="0.25">
      <c r="A211">
        <v>10</v>
      </c>
      <c r="B211" t="str">
        <f>HYPERLINK("https://imapinvasives.natureserve.org/imap/services/page/Presence/1062060.html", "View")</f>
        <v>View</v>
      </c>
      <c r="C211">
        <v>1062060</v>
      </c>
      <c r="D211">
        <v>1066624</v>
      </c>
      <c r="E211" t="str">
        <f>HYPERLINK("http://imap3images.s3-website-us-east-1.amazonaws.com/1066624/p/attachment1.jpg", "View")</f>
        <v>View</v>
      </c>
      <c r="F211" t="s">
        <v>82</v>
      </c>
      <c r="G211" t="s">
        <v>83</v>
      </c>
      <c r="H211">
        <v>56061</v>
      </c>
      <c r="I211" t="str">
        <f t="shared" si="9"/>
        <v>View</v>
      </c>
      <c r="J211" t="s">
        <v>82</v>
      </c>
      <c r="K211" t="s">
        <v>84</v>
      </c>
      <c r="L211">
        <v>56061</v>
      </c>
      <c r="M211">
        <v>22.26</v>
      </c>
      <c r="N211">
        <v>41.27</v>
      </c>
      <c r="O211">
        <v>1</v>
      </c>
      <c r="P211">
        <v>1</v>
      </c>
      <c r="R211" t="s">
        <v>23</v>
      </c>
      <c r="S211" t="s">
        <v>39</v>
      </c>
      <c r="T211" t="s">
        <v>317</v>
      </c>
    </row>
    <row r="212" spans="1:20" x14ac:dyDescent="0.25">
      <c r="A212">
        <v>11</v>
      </c>
      <c r="B212" t="str">
        <f>HYPERLINK("https://imapinvasives.natureserve.org/imap/services/page/Presence/1013117.html", "View")</f>
        <v>View</v>
      </c>
      <c r="C212">
        <v>1013117</v>
      </c>
      <c r="D212">
        <v>1013137</v>
      </c>
      <c r="E212" t="str">
        <f>HYPERLINK("http://imap3images.s3-website-us-east-1.amazonaws.com/1013137/p/15562000510211646761311.jpg", "View")</f>
        <v>View</v>
      </c>
      <c r="F212" t="s">
        <v>82</v>
      </c>
      <c r="G212" t="s">
        <v>83</v>
      </c>
      <c r="H212">
        <v>56061</v>
      </c>
      <c r="I212" t="str">
        <f t="shared" si="9"/>
        <v>View</v>
      </c>
      <c r="J212" t="s">
        <v>82</v>
      </c>
      <c r="K212" t="s">
        <v>84</v>
      </c>
      <c r="L212">
        <v>56061</v>
      </c>
      <c r="M212">
        <v>48.89</v>
      </c>
      <c r="N212">
        <v>42.74</v>
      </c>
      <c r="O212">
        <v>1</v>
      </c>
      <c r="P212">
        <v>1</v>
      </c>
      <c r="R212" t="s">
        <v>23</v>
      </c>
      <c r="S212" t="s">
        <v>33</v>
      </c>
      <c r="T212" t="s">
        <v>317</v>
      </c>
    </row>
    <row r="213" spans="1:20" x14ac:dyDescent="0.25">
      <c r="A213">
        <v>12</v>
      </c>
      <c r="B213" t="str">
        <f>HYPERLINK("https://imapinvasives.natureserve.org/imap/services/page/Presence/1145811.html", "View")</f>
        <v>View</v>
      </c>
      <c r="C213">
        <v>1145811</v>
      </c>
      <c r="D213">
        <v>1152353</v>
      </c>
      <c r="E213" t="str">
        <f>HYPERLINK("http://imap3images.s3-website-us-east-1.amazonaws.com/1152353/p/imap_app_photo_1623788869842.jpg", "View")</f>
        <v>View</v>
      </c>
      <c r="F213" t="s">
        <v>82</v>
      </c>
      <c r="G213" t="s">
        <v>83</v>
      </c>
      <c r="H213">
        <v>56061</v>
      </c>
      <c r="I213" t="str">
        <f t="shared" si="9"/>
        <v>View</v>
      </c>
      <c r="J213" t="s">
        <v>82</v>
      </c>
      <c r="K213" t="s">
        <v>84</v>
      </c>
      <c r="L213">
        <v>56061</v>
      </c>
      <c r="M213">
        <v>33.659999999999997</v>
      </c>
      <c r="N213">
        <v>89.66</v>
      </c>
      <c r="O213">
        <v>1</v>
      </c>
      <c r="P213">
        <v>1</v>
      </c>
      <c r="R213" t="s">
        <v>23</v>
      </c>
      <c r="S213" t="s">
        <v>24</v>
      </c>
      <c r="T213" t="s">
        <v>316</v>
      </c>
    </row>
    <row r="214" spans="1:20" x14ac:dyDescent="0.25">
      <c r="A214">
        <v>13</v>
      </c>
      <c r="B214" t="str">
        <f>HYPERLINK("https://imapinvasives.natureserve.org/imap/services/page/Presence/1342099.html", "View")</f>
        <v>View</v>
      </c>
      <c r="C214">
        <v>1342099</v>
      </c>
      <c r="D214">
        <v>1357538</v>
      </c>
      <c r="E214" t="str">
        <f>HYPERLINK("http://imap3images.s3-website-us-east-1.amazonaws.com/1357538/p/Photo_2.jpg", "View")</f>
        <v>View</v>
      </c>
      <c r="F214" t="s">
        <v>82</v>
      </c>
      <c r="G214" t="s">
        <v>83</v>
      </c>
      <c r="H214">
        <v>56061</v>
      </c>
      <c r="I214" t="str">
        <f t="shared" si="9"/>
        <v>View</v>
      </c>
      <c r="J214" t="s">
        <v>82</v>
      </c>
      <c r="K214" t="s">
        <v>84</v>
      </c>
      <c r="L214">
        <v>56061</v>
      </c>
      <c r="M214">
        <v>46.51</v>
      </c>
      <c r="N214">
        <v>99.73</v>
      </c>
      <c r="O214">
        <v>1</v>
      </c>
      <c r="P214">
        <v>1</v>
      </c>
      <c r="R214" t="s">
        <v>23</v>
      </c>
      <c r="S214" t="s">
        <v>24</v>
      </c>
      <c r="T214" t="s">
        <v>316</v>
      </c>
    </row>
    <row r="215" spans="1:20" x14ac:dyDescent="0.25">
      <c r="A215">
        <v>14</v>
      </c>
      <c r="B215" t="str">
        <f>HYPERLINK("https://imapinvasives.natureserve.org/imap/services/page/Presence/410833.html", "View")</f>
        <v>View</v>
      </c>
      <c r="C215">
        <v>410833</v>
      </c>
      <c r="D215">
        <v>410833</v>
      </c>
      <c r="E215" t="str">
        <f>HYPERLINK("http://imap3images.s3-website-us-east-1.amazonaws.com/410833/p/photourl1_2014_05_11_waldutcher_2ifc0035.jpg", "View")</f>
        <v>View</v>
      </c>
      <c r="F215" t="s">
        <v>82</v>
      </c>
      <c r="G215" t="s">
        <v>83</v>
      </c>
      <c r="H215">
        <v>56061</v>
      </c>
      <c r="I215" t="str">
        <f t="shared" si="9"/>
        <v>View</v>
      </c>
      <c r="J215" t="s">
        <v>82</v>
      </c>
      <c r="K215" t="s">
        <v>84</v>
      </c>
      <c r="L215">
        <v>56061</v>
      </c>
      <c r="M215">
        <v>46.53</v>
      </c>
      <c r="N215">
        <v>98.98</v>
      </c>
      <c r="O215">
        <v>1</v>
      </c>
      <c r="P215">
        <v>1</v>
      </c>
      <c r="R215" t="s">
        <v>23</v>
      </c>
      <c r="S215" t="s">
        <v>24</v>
      </c>
      <c r="T215" t="s">
        <v>316</v>
      </c>
    </row>
    <row r="216" spans="1:20" x14ac:dyDescent="0.25">
      <c r="A216">
        <v>15</v>
      </c>
      <c r="B216" t="str">
        <f>HYPERLINK("https://imapinvasives.natureserve.org/imap/services/page/Presence/1273549.html", "View")</f>
        <v>View</v>
      </c>
      <c r="C216">
        <v>1273549</v>
      </c>
      <c r="D216">
        <v>1282738</v>
      </c>
      <c r="E216" t="str">
        <f>HYPERLINK("http://imap3images.s3-website-us-east-1.amazonaws.com/1282738/p/Photo_1.jpg", "View")</f>
        <v>View</v>
      </c>
      <c r="F216" t="s">
        <v>82</v>
      </c>
      <c r="G216" t="s">
        <v>83</v>
      </c>
      <c r="H216">
        <v>56061</v>
      </c>
      <c r="I216" t="str">
        <f t="shared" si="9"/>
        <v>View</v>
      </c>
      <c r="J216" t="s">
        <v>82</v>
      </c>
      <c r="K216" t="s">
        <v>84</v>
      </c>
      <c r="L216">
        <v>56061</v>
      </c>
      <c r="M216">
        <v>51.53</v>
      </c>
      <c r="N216">
        <v>98.79</v>
      </c>
      <c r="O216">
        <v>1</v>
      </c>
      <c r="P216">
        <v>1</v>
      </c>
      <c r="R216" t="s">
        <v>23</v>
      </c>
      <c r="S216" t="s">
        <v>24</v>
      </c>
      <c r="T216" t="s">
        <v>316</v>
      </c>
    </row>
    <row r="217" spans="1:20" x14ac:dyDescent="0.25">
      <c r="A217">
        <v>16</v>
      </c>
      <c r="B217" t="str">
        <f>HYPERLINK("https://imapinvasives.natureserve.org/imap/services/page/Presence/1341548.html", "View")</f>
        <v>View</v>
      </c>
      <c r="C217">
        <v>1341548</v>
      </c>
      <c r="D217">
        <v>1356870</v>
      </c>
      <c r="E217" t="str">
        <f>HYPERLINK("http://imap3images.s3-website-us-east-1.amazonaws.com/1356870/p/imap_app_photo_1689954079305.jpg", "View")</f>
        <v>View</v>
      </c>
      <c r="F217" t="s">
        <v>82</v>
      </c>
      <c r="G217" t="s">
        <v>83</v>
      </c>
      <c r="H217">
        <v>56061</v>
      </c>
      <c r="I217" t="str">
        <f t="shared" si="9"/>
        <v>View</v>
      </c>
      <c r="J217" t="s">
        <v>82</v>
      </c>
      <c r="K217" t="s">
        <v>84</v>
      </c>
      <c r="L217">
        <v>56061</v>
      </c>
      <c r="M217">
        <v>26.63</v>
      </c>
      <c r="N217">
        <v>75.180000000000007</v>
      </c>
      <c r="O217">
        <v>1</v>
      </c>
      <c r="P217">
        <v>1</v>
      </c>
      <c r="R217" t="s">
        <v>23</v>
      </c>
      <c r="S217" t="s">
        <v>24</v>
      </c>
      <c r="T217" t="s">
        <v>316</v>
      </c>
    </row>
    <row r="218" spans="1:20" x14ac:dyDescent="0.25">
      <c r="A218">
        <v>17</v>
      </c>
      <c r="B218" t="str">
        <f>HYPERLINK("https://imapinvasives.natureserve.org/imap/services/page/Presence/492341.html", "View")</f>
        <v>View</v>
      </c>
      <c r="C218">
        <v>492341</v>
      </c>
      <c r="D218">
        <v>492341</v>
      </c>
      <c r="E218" t="str">
        <f>HYPERLINK("http://imap3images.s3-website-us-east-1.amazonaws.com/492341/p/photourl1_2016_06_27_julgrinstead_2y077180.jpg", "View")</f>
        <v>View</v>
      </c>
      <c r="F218" t="s">
        <v>82</v>
      </c>
      <c r="G218" t="s">
        <v>83</v>
      </c>
      <c r="H218">
        <v>56061</v>
      </c>
      <c r="I218" t="str">
        <f t="shared" si="9"/>
        <v>View</v>
      </c>
      <c r="J218" t="s">
        <v>82</v>
      </c>
      <c r="K218" t="s">
        <v>84</v>
      </c>
      <c r="L218">
        <v>56061</v>
      </c>
      <c r="M218">
        <v>42.62</v>
      </c>
      <c r="N218">
        <v>87</v>
      </c>
      <c r="O218">
        <v>1</v>
      </c>
      <c r="P218">
        <v>1</v>
      </c>
      <c r="R218" t="s">
        <v>23</v>
      </c>
      <c r="S218" t="s">
        <v>24</v>
      </c>
      <c r="T218" t="s">
        <v>316</v>
      </c>
    </row>
    <row r="219" spans="1:20" x14ac:dyDescent="0.25">
      <c r="A219">
        <v>18</v>
      </c>
      <c r="B219" t="str">
        <f>HYPERLINK("https://imapinvasives.natureserve.org/imap/services/page/Presence/1273814.html", "View")</f>
        <v>View</v>
      </c>
      <c r="C219">
        <v>1273814</v>
      </c>
      <c r="D219">
        <v>1283016</v>
      </c>
      <c r="E219" t="str">
        <f>HYPERLINK("http://imap3images.s3-website-us-east-1.amazonaws.com/1283016/p/imap_app_photo_1654786153553.jpg", "View")</f>
        <v>View</v>
      </c>
      <c r="F219" t="s">
        <v>82</v>
      </c>
      <c r="G219" t="s">
        <v>83</v>
      </c>
      <c r="H219">
        <v>56061</v>
      </c>
      <c r="I219" t="str">
        <f t="shared" si="9"/>
        <v>View</v>
      </c>
      <c r="J219" t="s">
        <v>82</v>
      </c>
      <c r="K219" t="s">
        <v>84</v>
      </c>
      <c r="L219">
        <v>56061</v>
      </c>
      <c r="M219">
        <v>18.86</v>
      </c>
      <c r="N219">
        <v>99.65</v>
      </c>
      <c r="O219">
        <v>1</v>
      </c>
      <c r="P219">
        <v>1</v>
      </c>
      <c r="R219" t="s">
        <v>23</v>
      </c>
      <c r="S219" t="s">
        <v>24</v>
      </c>
      <c r="T219" t="s">
        <v>316</v>
      </c>
    </row>
    <row r="220" spans="1:20" x14ac:dyDescent="0.25">
      <c r="A220">
        <v>19</v>
      </c>
      <c r="B220" t="str">
        <f>HYPERLINK("https://imapinvasives.natureserve.org/imap/services/page/Presence/444250.html", "View")</f>
        <v>View</v>
      </c>
      <c r="C220">
        <v>444250</v>
      </c>
      <c r="D220">
        <v>444250</v>
      </c>
      <c r="E220" t="str">
        <f>HYPERLINK("http://imap3images.s3-website-us-east-1.amazonaws.com/444250/p/photourl1_2015_06_11_kriharwick_r7vsy849.jpg", "View")</f>
        <v>View</v>
      </c>
      <c r="F220" t="s">
        <v>82</v>
      </c>
      <c r="G220" t="s">
        <v>83</v>
      </c>
      <c r="H220">
        <v>56061</v>
      </c>
      <c r="I220" t="str">
        <f t="shared" si="9"/>
        <v>View</v>
      </c>
      <c r="J220" t="s">
        <v>82</v>
      </c>
      <c r="K220" t="s">
        <v>84</v>
      </c>
      <c r="L220">
        <v>56061</v>
      </c>
      <c r="M220">
        <v>33.21</v>
      </c>
      <c r="N220">
        <v>97.27</v>
      </c>
      <c r="O220">
        <v>1</v>
      </c>
      <c r="P220">
        <v>1</v>
      </c>
      <c r="R220" t="s">
        <v>23</v>
      </c>
      <c r="S220" t="s">
        <v>24</v>
      </c>
      <c r="T220" t="s">
        <v>316</v>
      </c>
    </row>
    <row r="221" spans="1:20" x14ac:dyDescent="0.25">
      <c r="A221">
        <v>20</v>
      </c>
      <c r="B221" t="str">
        <f>HYPERLINK("https://imapinvasives.natureserve.org/imap/services/page/Presence/528593.html", "View")</f>
        <v>View</v>
      </c>
      <c r="C221">
        <v>528593</v>
      </c>
      <c r="D221">
        <v>528593</v>
      </c>
      <c r="E221" t="str">
        <f>HYPERLINK("http://imap3images.s3-website-us-east-1.amazonaws.com/528593/p/photourl1_2018_07_16_spebarrett_kq3b38qx.jpg", "View")</f>
        <v>View</v>
      </c>
      <c r="F221" t="s">
        <v>82</v>
      </c>
      <c r="G221" t="s">
        <v>83</v>
      </c>
      <c r="H221">
        <v>56061</v>
      </c>
      <c r="I221" t="str">
        <f t="shared" si="9"/>
        <v>View</v>
      </c>
      <c r="J221" t="s">
        <v>82</v>
      </c>
      <c r="K221" t="s">
        <v>84</v>
      </c>
      <c r="L221">
        <v>56061</v>
      </c>
      <c r="M221">
        <v>85.02</v>
      </c>
      <c r="N221">
        <v>58.86</v>
      </c>
      <c r="O221">
        <v>1</v>
      </c>
      <c r="P221">
        <v>1</v>
      </c>
      <c r="R221" t="s">
        <v>23</v>
      </c>
      <c r="S221" t="s">
        <v>33</v>
      </c>
      <c r="T221" t="s">
        <v>317</v>
      </c>
    </row>
    <row r="222" spans="1:20" x14ac:dyDescent="0.25">
      <c r="A222">
        <v>21</v>
      </c>
      <c r="B222" t="str">
        <f>HYPERLINK("https://imapinvasives.natureserve.org/imap/services/page/Presence/1056729.html", "View")</f>
        <v>View</v>
      </c>
      <c r="C222">
        <v>1056729</v>
      </c>
      <c r="D222">
        <v>1061222</v>
      </c>
      <c r="E222" t="str">
        <f>HYPERLINK("http://imap3images.s3-website-us-east-1.amazonaws.com/1061222/p/attachment1.jpg", "View")</f>
        <v>View</v>
      </c>
      <c r="F222" t="s">
        <v>82</v>
      </c>
      <c r="G222" t="s">
        <v>83</v>
      </c>
      <c r="H222">
        <v>56061</v>
      </c>
      <c r="I222" t="str">
        <f>HYPERLINK("https://www.inaturalist.org/taxa/58316-Salix-babylonica", "View")</f>
        <v>View</v>
      </c>
      <c r="J222" t="s">
        <v>87</v>
      </c>
      <c r="K222" t="s">
        <v>88</v>
      </c>
      <c r="L222">
        <v>58316</v>
      </c>
      <c r="M222">
        <v>4.26</v>
      </c>
      <c r="N222">
        <v>5.63</v>
      </c>
      <c r="O222">
        <v>0</v>
      </c>
      <c r="P222">
        <v>0</v>
      </c>
      <c r="R222" t="s">
        <v>40</v>
      </c>
      <c r="S222" t="s">
        <v>33</v>
      </c>
      <c r="T222" t="s">
        <v>317</v>
      </c>
    </row>
    <row r="223" spans="1:20" x14ac:dyDescent="0.25">
      <c r="A223">
        <v>22</v>
      </c>
      <c r="B223" t="str">
        <f>HYPERLINK("https://imapinvasives.natureserve.org/imap/services/page/Presence/525472.html", "View")</f>
        <v>View</v>
      </c>
      <c r="C223">
        <v>525472</v>
      </c>
      <c r="D223">
        <v>525472</v>
      </c>
      <c r="E223" t="str">
        <f>HYPERLINK("http://imap3images.s3-website-us-east-1.amazonaws.com/525472/p/photourl1_2018_05_11_krigilbert_j19x5yha.jpg", "View")</f>
        <v>View</v>
      </c>
      <c r="F223" t="s">
        <v>82</v>
      </c>
      <c r="G223" t="s">
        <v>83</v>
      </c>
      <c r="H223">
        <v>56061</v>
      </c>
      <c r="I223" t="str">
        <f>HYPERLINK("https://www.inaturalist.org/taxa/480254-Crepidiastrum-denticulatum", "View")</f>
        <v>View</v>
      </c>
      <c r="J223" t="s">
        <v>89</v>
      </c>
      <c r="K223" t="s">
        <v>90</v>
      </c>
      <c r="L223">
        <v>480254</v>
      </c>
      <c r="M223">
        <v>0</v>
      </c>
      <c r="N223">
        <v>11.92</v>
      </c>
      <c r="O223">
        <v>1</v>
      </c>
      <c r="P223">
        <v>0</v>
      </c>
      <c r="R223" t="s">
        <v>29</v>
      </c>
      <c r="S223" t="s">
        <v>34</v>
      </c>
      <c r="T223" t="s">
        <v>317</v>
      </c>
    </row>
    <row r="224" spans="1:20" x14ac:dyDescent="0.25">
      <c r="A224">
        <v>23</v>
      </c>
      <c r="B224" t="str">
        <f>HYPERLINK("https://imapinvasives.natureserve.org/imap/services/page/Presence/1054835.html", "View")</f>
        <v>View</v>
      </c>
      <c r="C224">
        <v>1054835</v>
      </c>
      <c r="D224">
        <v>1059175</v>
      </c>
      <c r="E224" t="str">
        <f>HYPERLINK("http://imap3images.s3-website-us-east-1.amazonaws.com/1059175/p/imap_app_photo_1594227591919.jpg", "View")</f>
        <v>View</v>
      </c>
      <c r="F224" t="s">
        <v>82</v>
      </c>
      <c r="G224" t="s">
        <v>83</v>
      </c>
      <c r="H224">
        <v>56061</v>
      </c>
      <c r="I224" t="str">
        <f t="shared" ref="I224:I233" si="10">HYPERLINK("https://www.inaturalist.org/taxa/56061-Alliaria-petiolata", "View")</f>
        <v>View</v>
      </c>
      <c r="J224" t="s">
        <v>82</v>
      </c>
      <c r="K224" t="s">
        <v>84</v>
      </c>
      <c r="L224">
        <v>56061</v>
      </c>
      <c r="M224">
        <v>43.48</v>
      </c>
      <c r="N224">
        <v>64.22</v>
      </c>
      <c r="O224">
        <v>1</v>
      </c>
      <c r="P224">
        <v>1</v>
      </c>
      <c r="R224" t="s">
        <v>23</v>
      </c>
      <c r="S224" t="s">
        <v>64</v>
      </c>
      <c r="T224" t="s">
        <v>317</v>
      </c>
    </row>
    <row r="225" spans="1:20" x14ac:dyDescent="0.25">
      <c r="A225">
        <v>24</v>
      </c>
      <c r="B225" t="str">
        <f>HYPERLINK("https://imapinvasives.natureserve.org/imap/services/page/Presence/1273835.html", "View")</f>
        <v>View</v>
      </c>
      <c r="C225">
        <v>1273835</v>
      </c>
      <c r="D225">
        <v>1283037</v>
      </c>
      <c r="E225" t="str">
        <f>HYPERLINK("http://imap3images.s3-website-us-east-1.amazonaws.com/1283037/p/imap_app_photo_1654786580240.jpg", "View")</f>
        <v>View</v>
      </c>
      <c r="F225" t="s">
        <v>82</v>
      </c>
      <c r="G225" t="s">
        <v>83</v>
      </c>
      <c r="H225">
        <v>56061</v>
      </c>
      <c r="I225" t="str">
        <f t="shared" si="10"/>
        <v>View</v>
      </c>
      <c r="J225" t="s">
        <v>82</v>
      </c>
      <c r="K225" t="s">
        <v>84</v>
      </c>
      <c r="L225">
        <v>56061</v>
      </c>
      <c r="M225">
        <v>19.04</v>
      </c>
      <c r="N225">
        <v>98.09</v>
      </c>
      <c r="O225">
        <v>1</v>
      </c>
      <c r="P225">
        <v>1</v>
      </c>
      <c r="R225" t="s">
        <v>23</v>
      </c>
      <c r="S225" t="s">
        <v>24</v>
      </c>
      <c r="T225" t="s">
        <v>316</v>
      </c>
    </row>
    <row r="226" spans="1:20" x14ac:dyDescent="0.25">
      <c r="A226">
        <v>25</v>
      </c>
      <c r="B226" t="str">
        <f>HYPERLINK("https://imapinvasives.natureserve.org/imap/services/page/Presence/1343853.html", "View")</f>
        <v>View</v>
      </c>
      <c r="C226">
        <v>1343853</v>
      </c>
      <c r="D226">
        <v>1359483</v>
      </c>
      <c r="E226" t="str">
        <f>HYPERLINK("http://imap3images.s3-website-us-east-1.amazonaws.com/1359483/p/Photo_1.jpg", "View")</f>
        <v>View</v>
      </c>
      <c r="F226" t="s">
        <v>82</v>
      </c>
      <c r="G226" t="s">
        <v>83</v>
      </c>
      <c r="H226">
        <v>56061</v>
      </c>
      <c r="I226" t="str">
        <f t="shared" si="10"/>
        <v>View</v>
      </c>
      <c r="J226" t="s">
        <v>82</v>
      </c>
      <c r="K226" t="s">
        <v>84</v>
      </c>
      <c r="L226">
        <v>56061</v>
      </c>
      <c r="M226">
        <v>46.51</v>
      </c>
      <c r="N226">
        <v>28.91</v>
      </c>
      <c r="O226">
        <v>1</v>
      </c>
      <c r="P226">
        <v>1</v>
      </c>
      <c r="R226" t="s">
        <v>23</v>
      </c>
      <c r="S226" t="s">
        <v>39</v>
      </c>
      <c r="T226" t="s">
        <v>317</v>
      </c>
    </row>
    <row r="227" spans="1:20" x14ac:dyDescent="0.25">
      <c r="A227">
        <v>26</v>
      </c>
      <c r="B227" t="str">
        <f>HYPERLINK("https://imapinvasives.natureserve.org/imap/services/page/Presence/1062033.html", "View")</f>
        <v>View</v>
      </c>
      <c r="C227">
        <v>1062033</v>
      </c>
      <c r="D227">
        <v>1066595</v>
      </c>
      <c r="E227" t="str">
        <f>HYPERLINK("http://imap3images.s3-website-us-east-1.amazonaws.com/1066595/p/attachment1.jpg", "View")</f>
        <v>View</v>
      </c>
      <c r="F227" t="s">
        <v>82</v>
      </c>
      <c r="G227" t="s">
        <v>83</v>
      </c>
      <c r="H227">
        <v>56061</v>
      </c>
      <c r="I227" t="str">
        <f t="shared" si="10"/>
        <v>View</v>
      </c>
      <c r="J227" t="s">
        <v>82</v>
      </c>
      <c r="K227" t="s">
        <v>84</v>
      </c>
      <c r="L227">
        <v>56061</v>
      </c>
      <c r="M227">
        <v>22.26</v>
      </c>
      <c r="N227">
        <v>13.25</v>
      </c>
      <c r="O227">
        <v>1</v>
      </c>
      <c r="P227">
        <v>1</v>
      </c>
      <c r="R227" t="s">
        <v>23</v>
      </c>
      <c r="S227" t="s">
        <v>39</v>
      </c>
      <c r="T227" t="s">
        <v>317</v>
      </c>
    </row>
    <row r="228" spans="1:20" x14ac:dyDescent="0.25">
      <c r="A228">
        <v>27</v>
      </c>
      <c r="B228" t="str">
        <f>HYPERLINK("https://imapinvasives.natureserve.org/imap/services/page/Presence/1297417.html", "View")</f>
        <v>View</v>
      </c>
      <c r="C228">
        <v>1297417</v>
      </c>
      <c r="D228">
        <v>1307654</v>
      </c>
      <c r="E228" t="str">
        <f>HYPERLINK("http://imap3images.s3-website-us-east-1.amazonaws.com/1307654/p/imap_app_photo_1664199774539.jpg", "View")</f>
        <v>View</v>
      </c>
      <c r="F228" t="s">
        <v>82</v>
      </c>
      <c r="G228" t="s">
        <v>83</v>
      </c>
      <c r="H228">
        <v>56061</v>
      </c>
      <c r="I228" t="str">
        <f t="shared" si="10"/>
        <v>View</v>
      </c>
      <c r="J228" t="s">
        <v>82</v>
      </c>
      <c r="K228" t="s">
        <v>84</v>
      </c>
      <c r="L228">
        <v>56061</v>
      </c>
      <c r="M228">
        <v>38.26</v>
      </c>
      <c r="N228">
        <v>99.54</v>
      </c>
      <c r="O228">
        <v>1</v>
      </c>
      <c r="P228">
        <v>1</v>
      </c>
      <c r="R228" t="s">
        <v>23</v>
      </c>
      <c r="S228" t="s">
        <v>24</v>
      </c>
      <c r="T228" t="s">
        <v>316</v>
      </c>
    </row>
    <row r="229" spans="1:20" x14ac:dyDescent="0.25">
      <c r="A229">
        <v>28</v>
      </c>
      <c r="B229" t="str">
        <f>HYPERLINK("https://imapinvasives.natureserve.org/imap/services/page/Presence/511068.html", "View")</f>
        <v>View</v>
      </c>
      <c r="C229">
        <v>511068</v>
      </c>
      <c r="D229">
        <v>511068</v>
      </c>
      <c r="E229" t="str">
        <f>HYPERLINK("http://imap3images.s3-website-us-east-1.amazonaws.com/511068/p/photourl2_2017_05_22_bilbrown_x5a4cqzp.jpg", "View")</f>
        <v>View</v>
      </c>
      <c r="F229" t="s">
        <v>82</v>
      </c>
      <c r="G229" t="s">
        <v>83</v>
      </c>
      <c r="H229">
        <v>56061</v>
      </c>
      <c r="I229" t="str">
        <f t="shared" si="10"/>
        <v>View</v>
      </c>
      <c r="J229" t="s">
        <v>82</v>
      </c>
      <c r="K229" t="s">
        <v>84</v>
      </c>
      <c r="L229">
        <v>56061</v>
      </c>
      <c r="M229">
        <v>33.380000000000003</v>
      </c>
      <c r="N229">
        <v>60.05</v>
      </c>
      <c r="O229">
        <v>1</v>
      </c>
      <c r="P229">
        <v>1</v>
      </c>
      <c r="R229" t="s">
        <v>23</v>
      </c>
      <c r="S229" t="s">
        <v>33</v>
      </c>
      <c r="T229" t="s">
        <v>317</v>
      </c>
    </row>
    <row r="230" spans="1:20" x14ac:dyDescent="0.25">
      <c r="A230">
        <v>29</v>
      </c>
      <c r="B230" t="str">
        <f>HYPERLINK("https://imapinvasives.natureserve.org/imap/services/page/Presence/1297426.html", "View")</f>
        <v>View</v>
      </c>
      <c r="C230">
        <v>1297426</v>
      </c>
      <c r="D230">
        <v>1307663</v>
      </c>
      <c r="E230" t="str">
        <f>HYPERLINK("http://imap3images.s3-website-us-east-1.amazonaws.com/1307663/p/imap_app_photo_1664200545884.jpg", "View")</f>
        <v>View</v>
      </c>
      <c r="F230" t="s">
        <v>82</v>
      </c>
      <c r="G230" t="s">
        <v>83</v>
      </c>
      <c r="H230">
        <v>56061</v>
      </c>
      <c r="I230" t="str">
        <f t="shared" si="10"/>
        <v>View</v>
      </c>
      <c r="J230" t="s">
        <v>82</v>
      </c>
      <c r="K230" t="s">
        <v>84</v>
      </c>
      <c r="L230">
        <v>56061</v>
      </c>
      <c r="M230">
        <v>38.26</v>
      </c>
      <c r="N230">
        <v>99.67</v>
      </c>
      <c r="O230">
        <v>1</v>
      </c>
      <c r="P230">
        <v>1</v>
      </c>
      <c r="R230" t="s">
        <v>23</v>
      </c>
      <c r="S230" t="s">
        <v>24</v>
      </c>
      <c r="T230" t="s">
        <v>316</v>
      </c>
    </row>
    <row r="231" spans="1:20" x14ac:dyDescent="0.25">
      <c r="A231">
        <v>30</v>
      </c>
      <c r="B231" t="str">
        <f>HYPERLINK("https://imapinvasives.natureserve.org/imap/services/page/Presence/449461.html", "View")</f>
        <v>View</v>
      </c>
      <c r="C231">
        <v>449461</v>
      </c>
      <c r="D231">
        <v>449461</v>
      </c>
      <c r="E231" t="str">
        <f>HYPERLINK("http://imap3images.s3-website-us-east-1.amazonaws.com/449461/p/photourl1_2015_07_10_jendean_4_zn8dqbk9.jpg", "View")</f>
        <v>View</v>
      </c>
      <c r="F231" t="s">
        <v>82</v>
      </c>
      <c r="G231" t="s">
        <v>83</v>
      </c>
      <c r="H231">
        <v>56061</v>
      </c>
      <c r="I231" t="str">
        <f t="shared" si="10"/>
        <v>View</v>
      </c>
      <c r="J231" t="s">
        <v>82</v>
      </c>
      <c r="K231" t="s">
        <v>84</v>
      </c>
      <c r="L231">
        <v>56061</v>
      </c>
      <c r="M231">
        <v>79.38</v>
      </c>
      <c r="N231">
        <v>98.7</v>
      </c>
      <c r="O231">
        <v>1</v>
      </c>
      <c r="P231">
        <v>1</v>
      </c>
      <c r="R231" t="s">
        <v>23</v>
      </c>
      <c r="S231" t="s">
        <v>24</v>
      </c>
      <c r="T231" t="s">
        <v>316</v>
      </c>
    </row>
    <row r="232" spans="1:20" x14ac:dyDescent="0.25">
      <c r="A232">
        <v>31</v>
      </c>
      <c r="B232" t="str">
        <f>HYPERLINK("https://imapinvasives.natureserve.org/imap/services/page/Presence/1348201.html", "View")</f>
        <v>View</v>
      </c>
      <c r="C232">
        <v>1348201</v>
      </c>
      <c r="D232">
        <v>1364910</v>
      </c>
      <c r="E232" t="str">
        <f>HYPERLINK("http://imap3images.s3-website-us-east-1.amazonaws.com/1364910/p/imap_app_photo_1692011701694.jpg", "View")</f>
        <v>View</v>
      </c>
      <c r="F232" t="s">
        <v>82</v>
      </c>
      <c r="G232" t="s">
        <v>83</v>
      </c>
      <c r="H232">
        <v>56061</v>
      </c>
      <c r="I232" t="str">
        <f t="shared" si="10"/>
        <v>View</v>
      </c>
      <c r="J232" t="s">
        <v>82</v>
      </c>
      <c r="K232" t="s">
        <v>84</v>
      </c>
      <c r="L232">
        <v>56061</v>
      </c>
      <c r="M232">
        <v>30.87</v>
      </c>
      <c r="N232">
        <v>98.25</v>
      </c>
      <c r="O232">
        <v>1</v>
      </c>
      <c r="P232">
        <v>1</v>
      </c>
      <c r="R232" t="s">
        <v>23</v>
      </c>
      <c r="S232" t="s">
        <v>24</v>
      </c>
      <c r="T232" t="s">
        <v>316</v>
      </c>
    </row>
    <row r="233" spans="1:20" x14ac:dyDescent="0.25">
      <c r="A233">
        <v>32</v>
      </c>
      <c r="B233" t="str">
        <f>HYPERLINK("https://imapinvasives.natureserve.org/imap/services/page/Presence/510015.html", "View")</f>
        <v>View</v>
      </c>
      <c r="C233">
        <v>510015</v>
      </c>
      <c r="D233">
        <v>510015</v>
      </c>
      <c r="E233" t="str">
        <f>HYPERLINK("http://imap3images.s3-website-us-east-1.amazonaws.com/510015/p/photourl1_2016_12_30_collutz_admin_klt46n2j.jpg", "View")</f>
        <v>View</v>
      </c>
      <c r="F233" t="s">
        <v>82</v>
      </c>
      <c r="G233" t="s">
        <v>83</v>
      </c>
      <c r="H233">
        <v>56061</v>
      </c>
      <c r="I233" t="str">
        <f t="shared" si="10"/>
        <v>View</v>
      </c>
      <c r="J233" t="s">
        <v>82</v>
      </c>
      <c r="K233" t="s">
        <v>84</v>
      </c>
      <c r="L233">
        <v>56061</v>
      </c>
      <c r="M233">
        <v>61.18</v>
      </c>
      <c r="N233">
        <v>99.86</v>
      </c>
      <c r="O233">
        <v>1</v>
      </c>
      <c r="P233">
        <v>1</v>
      </c>
      <c r="R233" t="s">
        <v>23</v>
      </c>
      <c r="S233" t="s">
        <v>24</v>
      </c>
      <c r="T233" t="s">
        <v>316</v>
      </c>
    </row>
    <row r="234" spans="1:20" x14ac:dyDescent="0.25">
      <c r="A234">
        <v>33</v>
      </c>
      <c r="B234" t="str">
        <f>HYPERLINK("https://imapinvasives.natureserve.org/imap/services/page/Presence/449411.html", "View")</f>
        <v>View</v>
      </c>
      <c r="C234">
        <v>449411</v>
      </c>
      <c r="D234">
        <v>449411</v>
      </c>
      <c r="E234" t="str">
        <f>HYPERLINK("http://imap3images.s3-website-us-east-1.amazonaws.com/449411/p/photourl1_2015_08_14_matbilz_ce22mu2v.jpg", "View")</f>
        <v>View</v>
      </c>
      <c r="F234" t="s">
        <v>82</v>
      </c>
      <c r="G234" t="s">
        <v>83</v>
      </c>
      <c r="H234">
        <v>56061</v>
      </c>
      <c r="I234" t="str">
        <f>HYPERLINK("https://www.inaturalist.org/taxa/467283-Canarina-canariensis", "View")</f>
        <v>View</v>
      </c>
      <c r="J234" t="s">
        <v>91</v>
      </c>
      <c r="K234" t="s">
        <v>92</v>
      </c>
      <c r="L234">
        <v>467283</v>
      </c>
      <c r="M234">
        <v>0.01</v>
      </c>
      <c r="N234">
        <v>9.32</v>
      </c>
      <c r="O234">
        <v>0</v>
      </c>
      <c r="P234">
        <v>0</v>
      </c>
      <c r="R234" t="s">
        <v>40</v>
      </c>
      <c r="S234" t="s">
        <v>64</v>
      </c>
      <c r="T234" t="s">
        <v>317</v>
      </c>
    </row>
    <row r="235" spans="1:20" x14ac:dyDescent="0.25">
      <c r="A235">
        <v>34</v>
      </c>
      <c r="B235" t="str">
        <f>HYPERLINK("https://imapinvasives.natureserve.org/imap/services/page/Presence/1045458.html", "View")</f>
        <v>View</v>
      </c>
      <c r="C235">
        <v>1045458</v>
      </c>
      <c r="D235">
        <v>1049369</v>
      </c>
      <c r="E235" t="str">
        <f>HYPERLINK("http://imap3images.s3-website-us-east-1.amazonaws.com/1049369/p/imap_app_photo_1588201629766.jpg", "View")</f>
        <v>View</v>
      </c>
      <c r="F235" t="s">
        <v>82</v>
      </c>
      <c r="G235" t="s">
        <v>83</v>
      </c>
      <c r="H235">
        <v>56061</v>
      </c>
      <c r="I235" t="str">
        <f>HYPERLINK("https://www.inaturalist.org/taxa/56061-Alliaria-petiolata", "View")</f>
        <v>View</v>
      </c>
      <c r="J235" t="s">
        <v>82</v>
      </c>
      <c r="K235" t="s">
        <v>84</v>
      </c>
      <c r="L235">
        <v>56061</v>
      </c>
      <c r="M235">
        <v>39.44</v>
      </c>
      <c r="N235">
        <v>99.39</v>
      </c>
      <c r="O235">
        <v>1</v>
      </c>
      <c r="P235">
        <v>1</v>
      </c>
      <c r="R235" t="s">
        <v>23</v>
      </c>
      <c r="S235" t="s">
        <v>24</v>
      </c>
      <c r="T235" t="s">
        <v>316</v>
      </c>
    </row>
    <row r="236" spans="1:20" x14ac:dyDescent="0.25">
      <c r="A236">
        <v>35</v>
      </c>
      <c r="B236" t="str">
        <f>HYPERLINK("https://imapinvasives.natureserve.org/imap/services/page/Presence/1331954.html", "View")</f>
        <v>View</v>
      </c>
      <c r="C236">
        <v>1331954</v>
      </c>
      <c r="D236">
        <v>1345555</v>
      </c>
      <c r="E236" t="str">
        <f>HYPERLINK("http://imap3images.s3-website-us-east-1.amazonaws.com/1345555/p/imap_app_photo_1684966566775.jpg", "View")</f>
        <v>View</v>
      </c>
      <c r="F236" t="s">
        <v>82</v>
      </c>
      <c r="G236" t="s">
        <v>83</v>
      </c>
      <c r="H236">
        <v>56061</v>
      </c>
      <c r="I236" t="str">
        <f>HYPERLINK("https://www.inaturalist.org/taxa/56061-Alliaria-petiolata", "View")</f>
        <v>View</v>
      </c>
      <c r="J236" t="s">
        <v>82</v>
      </c>
      <c r="K236" t="s">
        <v>84</v>
      </c>
      <c r="L236">
        <v>56061</v>
      </c>
      <c r="M236">
        <v>46.53</v>
      </c>
      <c r="N236">
        <v>86.94</v>
      </c>
      <c r="O236">
        <v>1</v>
      </c>
      <c r="P236">
        <v>1</v>
      </c>
      <c r="R236" t="s">
        <v>23</v>
      </c>
      <c r="S236" t="s">
        <v>34</v>
      </c>
      <c r="T236" t="s">
        <v>317</v>
      </c>
    </row>
    <row r="237" spans="1:20" x14ac:dyDescent="0.25">
      <c r="A237">
        <v>36</v>
      </c>
      <c r="B237" t="str">
        <f>HYPERLINK("https://imapinvasives.natureserve.org/imap/services/page/Presence/1139577.html", "View")</f>
        <v>View</v>
      </c>
      <c r="C237">
        <v>1139577</v>
      </c>
      <c r="D237">
        <v>1146078</v>
      </c>
      <c r="E237" t="str">
        <f>HYPERLINK("http://imap3images.s3-website-us-east-1.amazonaws.com/1146078/p/imap_app_photo_1622477544703.jpg", "View")</f>
        <v>View</v>
      </c>
      <c r="F237" t="s">
        <v>82</v>
      </c>
      <c r="G237" t="s">
        <v>83</v>
      </c>
      <c r="H237">
        <v>56061</v>
      </c>
      <c r="I237" t="str">
        <f>HYPERLINK("https://www.inaturalist.org/taxa/971907-Allium-rosenorum", "View")</f>
        <v>View</v>
      </c>
      <c r="J237" t="s">
        <v>93</v>
      </c>
      <c r="K237" t="s">
        <v>94</v>
      </c>
      <c r="L237">
        <v>971907</v>
      </c>
      <c r="M237">
        <v>0</v>
      </c>
      <c r="N237">
        <v>11.76</v>
      </c>
      <c r="O237">
        <v>0</v>
      </c>
      <c r="P237">
        <v>0</v>
      </c>
      <c r="R237" t="s">
        <v>40</v>
      </c>
      <c r="S237" t="s">
        <v>33</v>
      </c>
      <c r="T237" t="s">
        <v>317</v>
      </c>
    </row>
    <row r="238" spans="1:20" x14ac:dyDescent="0.25">
      <c r="A238">
        <v>37</v>
      </c>
      <c r="B238" t="str">
        <f>HYPERLINK("https://imapinvasives.natureserve.org/imap/services/page/Presence/1139705.html", "View")</f>
        <v>View</v>
      </c>
      <c r="C238">
        <v>1139705</v>
      </c>
      <c r="D238">
        <v>1146217</v>
      </c>
      <c r="E238" t="str">
        <f>HYPERLINK("http://imap3images.s3-website-us-east-1.amazonaws.com/1146217/p/imap_app_photo_1622576521132.jpg", "View")</f>
        <v>View</v>
      </c>
      <c r="F238" t="s">
        <v>82</v>
      </c>
      <c r="G238" t="s">
        <v>83</v>
      </c>
      <c r="H238">
        <v>56061</v>
      </c>
      <c r="I238" t="str">
        <f>HYPERLINK("https://www.inaturalist.org/taxa/56061-Alliaria-petiolata", "View")</f>
        <v>View</v>
      </c>
      <c r="J238" t="s">
        <v>82</v>
      </c>
      <c r="K238" t="s">
        <v>84</v>
      </c>
      <c r="L238">
        <v>56061</v>
      </c>
      <c r="M238">
        <v>48.45</v>
      </c>
      <c r="N238">
        <v>99.47</v>
      </c>
      <c r="O238">
        <v>1</v>
      </c>
      <c r="P238">
        <v>1</v>
      </c>
      <c r="R238" t="s">
        <v>23</v>
      </c>
      <c r="S238" t="s">
        <v>24</v>
      </c>
      <c r="T238" t="s">
        <v>316</v>
      </c>
    </row>
    <row r="239" spans="1:20" x14ac:dyDescent="0.25">
      <c r="A239">
        <v>38</v>
      </c>
      <c r="B239" t="str">
        <f>HYPERLINK("https://imapinvasives.natureserve.org/imap/services/page/Presence/420446.html", "View")</f>
        <v>View</v>
      </c>
      <c r="C239">
        <v>420446</v>
      </c>
      <c r="D239">
        <v>420446</v>
      </c>
      <c r="E239" t="str">
        <f>HYPERLINK("http://imap3images.s3-website-us-east-1.amazonaws.com/420446/p/photourl1_2014_09_09_andstadler_2l00cjy0.jpg", "View")</f>
        <v>View</v>
      </c>
      <c r="F239" t="s">
        <v>82</v>
      </c>
      <c r="G239" t="s">
        <v>83</v>
      </c>
      <c r="H239">
        <v>56061</v>
      </c>
      <c r="I239" t="str">
        <f>HYPERLINK("https://www.inaturalist.org/taxa/133034-Daphne-mezereum", "View")</f>
        <v>View</v>
      </c>
      <c r="J239" t="s">
        <v>95</v>
      </c>
      <c r="K239" t="s">
        <v>96</v>
      </c>
      <c r="L239">
        <v>133034</v>
      </c>
      <c r="M239">
        <v>2.9</v>
      </c>
      <c r="N239">
        <v>35.119999999999997</v>
      </c>
      <c r="O239">
        <v>0</v>
      </c>
      <c r="P239">
        <v>0</v>
      </c>
      <c r="R239" t="s">
        <v>40</v>
      </c>
      <c r="S239" t="s">
        <v>64</v>
      </c>
      <c r="T239" t="s">
        <v>317</v>
      </c>
    </row>
    <row r="240" spans="1:20" x14ac:dyDescent="0.25">
      <c r="A240">
        <v>39</v>
      </c>
      <c r="B240" t="str">
        <f>HYPERLINK("https://imapinvasives.natureserve.org/imap/services/page/Presence/1435077.html", "View")</f>
        <v>View</v>
      </c>
      <c r="C240">
        <v>1435077</v>
      </c>
      <c r="D240">
        <v>1448772</v>
      </c>
      <c r="E240" t="str">
        <f>HYPERLINK("http://imap3images.s3-website-us-east-1.amazonaws.com/1448772/p/Garlic_Mustard.jpg", "View")</f>
        <v>View</v>
      </c>
      <c r="F240" t="s">
        <v>82</v>
      </c>
      <c r="G240" t="s">
        <v>83</v>
      </c>
      <c r="H240">
        <v>56061</v>
      </c>
      <c r="I240" t="str">
        <f>HYPERLINK("https://www.inaturalist.org/taxa/56061-Alliaria-petiolata", "View")</f>
        <v>View</v>
      </c>
      <c r="J240" t="s">
        <v>82</v>
      </c>
      <c r="K240" t="s">
        <v>84</v>
      </c>
      <c r="L240">
        <v>56061</v>
      </c>
      <c r="M240">
        <v>46.57</v>
      </c>
      <c r="N240">
        <v>95.66</v>
      </c>
      <c r="O240">
        <v>1</v>
      </c>
      <c r="P240">
        <v>1</v>
      </c>
      <c r="R240" t="s">
        <v>23</v>
      </c>
      <c r="S240" t="s">
        <v>39</v>
      </c>
      <c r="T240" t="s">
        <v>317</v>
      </c>
    </row>
    <row r="241" spans="1:20" x14ac:dyDescent="0.25">
      <c r="A241">
        <v>40</v>
      </c>
      <c r="B241" t="str">
        <f>HYPERLINK("https://imapinvasives.natureserve.org/imap/services/page/Presence/1274869.html", "View")</f>
        <v>View</v>
      </c>
      <c r="C241">
        <v>1274869</v>
      </c>
      <c r="D241">
        <v>1284177</v>
      </c>
      <c r="E241" t="str">
        <f>HYPERLINK("http://imap3images.s3-website-us-east-1.amazonaws.com/1284177/p/imap_app_photo_1655316197124.jpg", "View")</f>
        <v>View</v>
      </c>
      <c r="F241" t="s">
        <v>82</v>
      </c>
      <c r="G241" t="s">
        <v>83</v>
      </c>
      <c r="H241">
        <v>56061</v>
      </c>
      <c r="I241" t="str">
        <f>HYPERLINK("https://www.inaturalist.org/taxa/56061-Alliaria-petiolata", "View")</f>
        <v>View</v>
      </c>
      <c r="J241" t="s">
        <v>82</v>
      </c>
      <c r="K241" t="s">
        <v>84</v>
      </c>
      <c r="L241">
        <v>56061</v>
      </c>
      <c r="M241">
        <v>21.31</v>
      </c>
      <c r="N241">
        <v>92.26</v>
      </c>
      <c r="O241">
        <v>1</v>
      </c>
      <c r="P241">
        <v>1</v>
      </c>
      <c r="R241" t="s">
        <v>23</v>
      </c>
      <c r="S241" t="s">
        <v>39</v>
      </c>
      <c r="T241" t="s">
        <v>317</v>
      </c>
    </row>
    <row r="242" spans="1:20" x14ac:dyDescent="0.25">
      <c r="A242">
        <v>41</v>
      </c>
      <c r="B242" t="str">
        <f>HYPERLINK("https://imapinvasives.natureserve.org/imap/services/page/Presence/410890.html", "View")</f>
        <v>View</v>
      </c>
      <c r="C242">
        <v>410890</v>
      </c>
      <c r="D242">
        <v>410890</v>
      </c>
      <c r="E242" t="str">
        <f>HYPERLINK("http://imap3images.s3-website-us-east-1.amazonaws.com/410890/p/photourl1_2014_06_01_walcammack_wnec9bcy.jpg", "View")</f>
        <v>View</v>
      </c>
      <c r="F242" t="s">
        <v>82</v>
      </c>
      <c r="G242" t="s">
        <v>83</v>
      </c>
      <c r="H242">
        <v>56061</v>
      </c>
      <c r="I242" t="str">
        <f>HYPERLINK("https://www.inaturalist.org/taxa/56061-Alliaria-petiolata", "View")</f>
        <v>View</v>
      </c>
      <c r="J242" t="s">
        <v>82</v>
      </c>
      <c r="K242" t="s">
        <v>84</v>
      </c>
      <c r="L242">
        <v>56061</v>
      </c>
      <c r="M242">
        <v>49.69</v>
      </c>
      <c r="N242">
        <v>93.27</v>
      </c>
      <c r="O242">
        <v>1</v>
      </c>
      <c r="P242">
        <v>1</v>
      </c>
      <c r="R242" t="s">
        <v>23</v>
      </c>
      <c r="S242" t="s">
        <v>24</v>
      </c>
      <c r="T242" t="s">
        <v>316</v>
      </c>
    </row>
    <row r="243" spans="1:20" x14ac:dyDescent="0.25">
      <c r="A243">
        <v>42</v>
      </c>
      <c r="B243" t="str">
        <f>HYPERLINK("https://imapinvasives.natureserve.org/imap/services/page/Presence/1375429.html", "View")</f>
        <v>View</v>
      </c>
      <c r="C243">
        <v>1375429</v>
      </c>
      <c r="D243">
        <v>1393524</v>
      </c>
      <c r="E243" t="str">
        <f>HYPERLINK("http://imap3images.s3-website-us-east-1.amazonaws.com/1393524/p/imap_app_photo_1707443299148.jpg", "View")</f>
        <v>View</v>
      </c>
      <c r="F243" t="s">
        <v>82</v>
      </c>
      <c r="G243" t="s">
        <v>83</v>
      </c>
      <c r="H243">
        <v>56061</v>
      </c>
      <c r="I243" t="str">
        <f>HYPERLINK("https://www.inaturalist.org/taxa/83799-Mitchella-repens", "View")</f>
        <v>View</v>
      </c>
      <c r="J243" t="s">
        <v>97</v>
      </c>
      <c r="K243" t="s">
        <v>98</v>
      </c>
      <c r="L243">
        <v>83799</v>
      </c>
      <c r="M243">
        <v>30.23</v>
      </c>
      <c r="N243">
        <v>17.18</v>
      </c>
      <c r="O243">
        <v>0</v>
      </c>
      <c r="P243">
        <v>0</v>
      </c>
      <c r="R243" t="s">
        <v>32</v>
      </c>
      <c r="S243" t="s">
        <v>33</v>
      </c>
      <c r="T243" t="s">
        <v>317</v>
      </c>
    </row>
    <row r="244" spans="1:20" x14ac:dyDescent="0.25">
      <c r="A244">
        <v>43</v>
      </c>
      <c r="B244" t="str">
        <f>HYPERLINK("https://imapinvasives.natureserve.org/imap/services/page/Presence/1332134.html", "View")</f>
        <v>View</v>
      </c>
      <c r="C244">
        <v>1332134</v>
      </c>
      <c r="D244">
        <v>1345892</v>
      </c>
      <c r="E244" t="str">
        <f>HYPERLINK("http://imap3images.s3-website-us-east-1.amazonaws.com/1345892/p/imap_app_photo_1685124717513.jpg", "View")</f>
        <v>View</v>
      </c>
      <c r="F244" t="s">
        <v>82</v>
      </c>
      <c r="G244" t="s">
        <v>83</v>
      </c>
      <c r="H244">
        <v>56061</v>
      </c>
      <c r="I244" t="str">
        <f>HYPERLINK("https://www.inaturalist.org/taxa/56061-Alliaria-petiolata", "View")</f>
        <v>View</v>
      </c>
      <c r="J244" t="s">
        <v>82</v>
      </c>
      <c r="K244" t="s">
        <v>84</v>
      </c>
      <c r="L244">
        <v>56061</v>
      </c>
      <c r="M244">
        <v>71.150000000000006</v>
      </c>
      <c r="N244">
        <v>99.61</v>
      </c>
      <c r="O244">
        <v>1</v>
      </c>
      <c r="P244">
        <v>1</v>
      </c>
      <c r="R244" t="s">
        <v>23</v>
      </c>
      <c r="S244" t="s">
        <v>24</v>
      </c>
      <c r="T244" t="s">
        <v>316</v>
      </c>
    </row>
    <row r="245" spans="1:20" x14ac:dyDescent="0.25">
      <c r="A245">
        <v>44</v>
      </c>
      <c r="B245" t="str">
        <f>HYPERLINK("https://imapinvasives.natureserve.org/imap/services/page/Presence/418873.html", "View")</f>
        <v>View</v>
      </c>
      <c r="C245">
        <v>418873</v>
      </c>
      <c r="D245">
        <v>418873</v>
      </c>
      <c r="E245" t="str">
        <f>HYPERLINK("http://imap3images.s3-website-us-east-1.amazonaws.com/418873/p/photourl2_2014_08_07_andstadler_anh485ei.jpg", "View")</f>
        <v>View</v>
      </c>
      <c r="F245" t="s">
        <v>82</v>
      </c>
      <c r="G245" t="s">
        <v>83</v>
      </c>
      <c r="H245">
        <v>56061</v>
      </c>
      <c r="I245" t="str">
        <f>HYPERLINK("https://www.inaturalist.org/taxa/46217-Tamias-striatus", "View")</f>
        <v>View</v>
      </c>
      <c r="J245" t="s">
        <v>99</v>
      </c>
      <c r="K245" t="s">
        <v>100</v>
      </c>
      <c r="L245">
        <v>46217</v>
      </c>
      <c r="M245">
        <v>39.090000000000003</v>
      </c>
      <c r="N245">
        <v>6.1</v>
      </c>
      <c r="O245">
        <v>0</v>
      </c>
      <c r="P245">
        <v>0</v>
      </c>
      <c r="R245" t="s">
        <v>40</v>
      </c>
      <c r="S245" t="s">
        <v>64</v>
      </c>
      <c r="T245" t="s">
        <v>317</v>
      </c>
    </row>
    <row r="246" spans="1:20" x14ac:dyDescent="0.25">
      <c r="A246">
        <v>45</v>
      </c>
      <c r="B246" t="str">
        <f>HYPERLINK("https://imapinvasives.natureserve.org/imap/services/page/Presence/1278933.html", "View")</f>
        <v>View</v>
      </c>
      <c r="C246">
        <v>1278933</v>
      </c>
      <c r="D246">
        <v>1288293</v>
      </c>
      <c r="E246" t="str">
        <f>HYPERLINK("http://imap3images.s3-website-us-east-1.amazonaws.com/1288293/p/imap_app_photo_1656004789591.jpg", "View")</f>
        <v>View</v>
      </c>
      <c r="F246" t="s">
        <v>82</v>
      </c>
      <c r="G246" t="s">
        <v>83</v>
      </c>
      <c r="H246">
        <v>56061</v>
      </c>
      <c r="I246" t="str">
        <f>HYPERLINK("https://www.inaturalist.org/taxa/56061-Alliaria-petiolata", "View")</f>
        <v>View</v>
      </c>
      <c r="J246" t="s">
        <v>82</v>
      </c>
      <c r="K246" t="s">
        <v>84</v>
      </c>
      <c r="L246">
        <v>56061</v>
      </c>
      <c r="M246">
        <v>21.64</v>
      </c>
      <c r="N246">
        <v>96.46</v>
      </c>
      <c r="O246">
        <v>1</v>
      </c>
      <c r="P246">
        <v>1</v>
      </c>
      <c r="R246" t="s">
        <v>23</v>
      </c>
      <c r="S246" t="s">
        <v>24</v>
      </c>
      <c r="T246" t="s">
        <v>316</v>
      </c>
    </row>
    <row r="247" spans="1:20" x14ac:dyDescent="0.25">
      <c r="A247">
        <v>46</v>
      </c>
      <c r="B247" t="str">
        <f>HYPERLINK("https://imapinvasives.natureserve.org/imap/services/page/Presence/1332511.html", "View")</f>
        <v>View</v>
      </c>
      <c r="C247">
        <v>1332511</v>
      </c>
      <c r="D247">
        <v>1346386</v>
      </c>
      <c r="E247" t="str">
        <f>HYPERLINK("http://imap3images.s3-website-us-east-1.amazonaws.com/1346386/p/imap_app_photo_1685541279184.jpg", "View")</f>
        <v>View</v>
      </c>
      <c r="F247" t="s">
        <v>82</v>
      </c>
      <c r="G247" t="s">
        <v>83</v>
      </c>
      <c r="H247">
        <v>56061</v>
      </c>
      <c r="I247" t="str">
        <f>HYPERLINK("https://www.inaturalist.org/taxa/56061-Alliaria-petiolata", "View")</f>
        <v>View</v>
      </c>
      <c r="J247" t="s">
        <v>82</v>
      </c>
      <c r="K247" t="s">
        <v>84</v>
      </c>
      <c r="L247">
        <v>56061</v>
      </c>
      <c r="M247">
        <v>51.26</v>
      </c>
      <c r="N247">
        <v>95.87</v>
      </c>
      <c r="O247">
        <v>1</v>
      </c>
      <c r="P247">
        <v>1</v>
      </c>
      <c r="R247" t="s">
        <v>23</v>
      </c>
      <c r="S247" t="s">
        <v>24</v>
      </c>
      <c r="T247" t="s">
        <v>316</v>
      </c>
    </row>
    <row r="248" spans="1:20" x14ac:dyDescent="0.25">
      <c r="A248">
        <v>47</v>
      </c>
      <c r="B248" t="str">
        <f>HYPERLINK("https://imapinvasives.natureserve.org/imap/services/page/Presence/1412173.html", "View")</f>
        <v>View</v>
      </c>
      <c r="C248">
        <v>1412173</v>
      </c>
      <c r="D248">
        <v>1424869</v>
      </c>
      <c r="E248" t="str">
        <f>HYPERLINK("http://imap3images.s3-website-us-east-1.amazonaws.com/1424869/p/imap_app_photo_1718838807797.jpg", "View")</f>
        <v>View</v>
      </c>
      <c r="F248" t="s">
        <v>82</v>
      </c>
      <c r="G248" t="s">
        <v>83</v>
      </c>
      <c r="H248">
        <v>56061</v>
      </c>
      <c r="I248" t="str">
        <f>HYPERLINK("https://www.inaturalist.org/taxa/56061-Alliaria-petiolata", "View")</f>
        <v>View</v>
      </c>
      <c r="J248" t="s">
        <v>82</v>
      </c>
      <c r="K248" t="s">
        <v>84</v>
      </c>
      <c r="L248">
        <v>56061</v>
      </c>
      <c r="M248">
        <v>48.45</v>
      </c>
      <c r="N248">
        <v>49.47</v>
      </c>
      <c r="O248">
        <v>1</v>
      </c>
      <c r="P248">
        <v>1</v>
      </c>
      <c r="R248" t="s">
        <v>23</v>
      </c>
      <c r="S248" t="s">
        <v>39</v>
      </c>
      <c r="T248" t="s">
        <v>317</v>
      </c>
    </row>
    <row r="249" spans="1:20" x14ac:dyDescent="0.25">
      <c r="A249">
        <v>48</v>
      </c>
      <c r="B249" t="str">
        <f>HYPERLINK("https://imapinvasives.natureserve.org/imap/services/page/Presence/410949.html", "View")</f>
        <v>View</v>
      </c>
      <c r="C249">
        <v>410949</v>
      </c>
      <c r="D249">
        <v>410949</v>
      </c>
      <c r="E249" t="str">
        <f>HYPERLINK("http://imap3images.s3-website-us-east-1.amazonaws.com/410949/p/photourl2_2014_06_09_bilbrown_5j17dgk1.jpg", "View")</f>
        <v>View</v>
      </c>
      <c r="F249" t="s">
        <v>82</v>
      </c>
      <c r="G249" t="s">
        <v>83</v>
      </c>
      <c r="H249">
        <v>56061</v>
      </c>
      <c r="I249" t="str">
        <f>HYPERLINK("https://www.inaturalist.org/taxa/890-Bonasa-umbellus", "View")</f>
        <v>View</v>
      </c>
      <c r="J249" t="s">
        <v>101</v>
      </c>
      <c r="K249" t="s">
        <v>102</v>
      </c>
      <c r="L249">
        <v>890</v>
      </c>
      <c r="M249">
        <v>30.5</v>
      </c>
      <c r="N249">
        <v>18.399999999999999</v>
      </c>
      <c r="O249">
        <v>0</v>
      </c>
      <c r="P249">
        <v>0</v>
      </c>
      <c r="R249" t="s">
        <v>40</v>
      </c>
      <c r="S249" t="s">
        <v>34</v>
      </c>
      <c r="T249" t="s">
        <v>317</v>
      </c>
    </row>
    <row r="250" spans="1:20" x14ac:dyDescent="0.25">
      <c r="A250">
        <v>49</v>
      </c>
      <c r="B250" t="str">
        <f>HYPERLINK("https://imapinvasives.natureserve.org/imap/services/page/Presence/1047837.html", "View")</f>
        <v>View</v>
      </c>
      <c r="C250">
        <v>1047837</v>
      </c>
      <c r="D250">
        <v>1051835</v>
      </c>
      <c r="E250" t="str">
        <f>HYPERLINK("http://imap3images.s3-website-us-east-1.amazonaws.com/1051835/p/imap_app_photo_1591215342482.jpg", "View")</f>
        <v>View</v>
      </c>
      <c r="F250" t="s">
        <v>82</v>
      </c>
      <c r="G250" t="s">
        <v>83</v>
      </c>
      <c r="H250">
        <v>56061</v>
      </c>
      <c r="I250" t="str">
        <f t="shared" ref="I250:I259" si="11">HYPERLINK("https://www.inaturalist.org/taxa/56061-Alliaria-petiolata", "View")</f>
        <v>View</v>
      </c>
      <c r="J250" t="s">
        <v>82</v>
      </c>
      <c r="K250" t="s">
        <v>84</v>
      </c>
      <c r="L250">
        <v>56061</v>
      </c>
      <c r="M250">
        <v>49.72</v>
      </c>
      <c r="N250">
        <v>17.829999999999998</v>
      </c>
      <c r="O250">
        <v>1</v>
      </c>
      <c r="P250">
        <v>1</v>
      </c>
      <c r="R250" t="s">
        <v>23</v>
      </c>
      <c r="S250" t="s">
        <v>39</v>
      </c>
      <c r="T250" t="s">
        <v>317</v>
      </c>
    </row>
    <row r="251" spans="1:20" x14ac:dyDescent="0.25">
      <c r="A251">
        <v>50</v>
      </c>
      <c r="B251" t="str">
        <f>HYPERLINK("https://imapinvasives.natureserve.org/imap/services/page/Presence/494078.html", "View")</f>
        <v>View</v>
      </c>
      <c r="C251">
        <v>494078</v>
      </c>
      <c r="D251">
        <v>494078</v>
      </c>
      <c r="E251" t="str">
        <f>HYPERLINK("http://imap3images.s3-website-us-east-1.amazonaws.com/494078/p/photourl1_2016_08_03_julgrinstead_75041y4h.jpg", "View")</f>
        <v>View</v>
      </c>
      <c r="F251" t="s">
        <v>82</v>
      </c>
      <c r="G251" t="s">
        <v>83</v>
      </c>
      <c r="H251">
        <v>56061</v>
      </c>
      <c r="I251" t="str">
        <f t="shared" si="11"/>
        <v>View</v>
      </c>
      <c r="J251" t="s">
        <v>82</v>
      </c>
      <c r="K251" t="s">
        <v>84</v>
      </c>
      <c r="L251">
        <v>56061</v>
      </c>
      <c r="M251">
        <v>42.62</v>
      </c>
      <c r="N251">
        <v>99.2</v>
      </c>
      <c r="O251">
        <v>1</v>
      </c>
      <c r="P251">
        <v>1</v>
      </c>
      <c r="R251" t="s">
        <v>23</v>
      </c>
      <c r="S251" t="s">
        <v>24</v>
      </c>
      <c r="T251" t="s">
        <v>316</v>
      </c>
    </row>
    <row r="252" spans="1:20" x14ac:dyDescent="0.25">
      <c r="A252">
        <v>51</v>
      </c>
      <c r="B252" t="str">
        <f>HYPERLINK("https://imapinvasives.natureserve.org/imap/services/page/Presence/333193.html", "View")</f>
        <v>View</v>
      </c>
      <c r="C252">
        <v>333193</v>
      </c>
      <c r="D252">
        <v>333193</v>
      </c>
      <c r="E252" t="str">
        <f>HYPERLINK("http://imap3images.s3-website-us-east-1.amazonaws.com/333193/p/photourl3_2012_07_03_devmcshane_f4qze6hn.jpg", "View")</f>
        <v>View</v>
      </c>
      <c r="F252" t="s">
        <v>82</v>
      </c>
      <c r="G252" t="s">
        <v>83</v>
      </c>
      <c r="H252">
        <v>56061</v>
      </c>
      <c r="I252" t="str">
        <f t="shared" si="11"/>
        <v>View</v>
      </c>
      <c r="J252" t="s">
        <v>82</v>
      </c>
      <c r="K252" t="s">
        <v>84</v>
      </c>
      <c r="L252">
        <v>56061</v>
      </c>
      <c r="M252">
        <v>19.04</v>
      </c>
      <c r="N252">
        <v>10.65</v>
      </c>
      <c r="O252">
        <v>1</v>
      </c>
      <c r="P252">
        <v>1</v>
      </c>
      <c r="R252" t="s">
        <v>23</v>
      </c>
      <c r="S252" t="s">
        <v>64</v>
      </c>
      <c r="T252" t="s">
        <v>317</v>
      </c>
    </row>
    <row r="253" spans="1:20" x14ac:dyDescent="0.25">
      <c r="A253">
        <v>52</v>
      </c>
      <c r="B253" t="str">
        <f>HYPERLINK("https://imapinvasives.natureserve.org/imap/services/page/Presence/511801.html", "View")</f>
        <v>View</v>
      </c>
      <c r="C253">
        <v>511801</v>
      </c>
      <c r="D253">
        <v>511801</v>
      </c>
      <c r="E253" t="str">
        <f>HYPERLINK("http://imap3images.s3-website-us-east-1.amazonaws.com/511801/p/photourl1_2017_06_08_johthompson_vymks2io.jpg", "View")</f>
        <v>View</v>
      </c>
      <c r="F253" t="s">
        <v>82</v>
      </c>
      <c r="G253" t="s">
        <v>83</v>
      </c>
      <c r="H253">
        <v>56061</v>
      </c>
      <c r="I253" t="str">
        <f t="shared" si="11"/>
        <v>View</v>
      </c>
      <c r="J253" t="s">
        <v>82</v>
      </c>
      <c r="K253" t="s">
        <v>84</v>
      </c>
      <c r="L253">
        <v>56061</v>
      </c>
      <c r="M253">
        <v>22.62</v>
      </c>
      <c r="N253">
        <v>99.19</v>
      </c>
      <c r="O253">
        <v>1</v>
      </c>
      <c r="P253">
        <v>1</v>
      </c>
      <c r="R253" t="s">
        <v>23</v>
      </c>
      <c r="S253" t="s">
        <v>24</v>
      </c>
      <c r="T253" t="s">
        <v>316</v>
      </c>
    </row>
    <row r="254" spans="1:20" x14ac:dyDescent="0.25">
      <c r="A254">
        <v>53</v>
      </c>
      <c r="B254" t="str">
        <f>HYPERLINK("https://imapinvasives.natureserve.org/imap/services/page/Presence/1271754.html", "View")</f>
        <v>View</v>
      </c>
      <c r="C254">
        <v>1271754</v>
      </c>
      <c r="D254">
        <v>1280733</v>
      </c>
      <c r="E254" t="str">
        <f>HYPERLINK("http://imap3images.s3-website-us-east-1.amazonaws.com/1280733/p/Photo1-20220511-155733.jpg", "View")</f>
        <v>View</v>
      </c>
      <c r="F254" t="s">
        <v>82</v>
      </c>
      <c r="G254" t="s">
        <v>83</v>
      </c>
      <c r="H254">
        <v>56061</v>
      </c>
      <c r="I254" t="str">
        <f t="shared" si="11"/>
        <v>View</v>
      </c>
      <c r="J254" t="s">
        <v>82</v>
      </c>
      <c r="K254" t="s">
        <v>84</v>
      </c>
      <c r="L254">
        <v>56061</v>
      </c>
      <c r="M254">
        <v>90.87</v>
      </c>
      <c r="N254">
        <v>99.48</v>
      </c>
      <c r="O254">
        <v>1</v>
      </c>
      <c r="P254">
        <v>1</v>
      </c>
      <c r="R254" t="s">
        <v>23</v>
      </c>
      <c r="S254" t="s">
        <v>24</v>
      </c>
      <c r="T254" t="s">
        <v>316</v>
      </c>
    </row>
    <row r="255" spans="1:20" x14ac:dyDescent="0.25">
      <c r="A255">
        <v>54</v>
      </c>
      <c r="B255" t="str">
        <f>HYPERLINK("https://imapinvasives.natureserve.org/imap/services/page/Presence/1145397.html", "View")</f>
        <v>View</v>
      </c>
      <c r="C255">
        <v>1145397</v>
      </c>
      <c r="D255">
        <v>1151929</v>
      </c>
      <c r="E255" t="str">
        <f>HYPERLINK("http://imap3images.s3-website-us-east-1.amazonaws.com/1151929/p/imap_app_photo_1623340362675.jpg", "View")</f>
        <v>View</v>
      </c>
      <c r="F255" t="s">
        <v>82</v>
      </c>
      <c r="G255" t="s">
        <v>83</v>
      </c>
      <c r="H255">
        <v>56061</v>
      </c>
      <c r="I255" t="str">
        <f t="shared" si="11"/>
        <v>View</v>
      </c>
      <c r="J255" t="s">
        <v>82</v>
      </c>
      <c r="K255" t="s">
        <v>84</v>
      </c>
      <c r="L255">
        <v>56061</v>
      </c>
      <c r="M255">
        <v>61.18</v>
      </c>
      <c r="N255">
        <v>96.65</v>
      </c>
      <c r="O255">
        <v>1</v>
      </c>
      <c r="P255">
        <v>1</v>
      </c>
      <c r="R255" t="s">
        <v>23</v>
      </c>
      <c r="S255" t="s">
        <v>24</v>
      </c>
      <c r="T255" t="s">
        <v>316</v>
      </c>
    </row>
    <row r="256" spans="1:20" x14ac:dyDescent="0.25">
      <c r="A256">
        <v>55</v>
      </c>
      <c r="B256" t="str">
        <f>HYPERLINK("https://imapinvasives.natureserve.org/imap/services/page/Presence/1145761.html", "View")</f>
        <v>View</v>
      </c>
      <c r="C256">
        <v>1145761</v>
      </c>
      <c r="D256">
        <v>1152303</v>
      </c>
      <c r="E256" t="str">
        <f>HYPERLINK("http://imap3images.s3-website-us-east-1.amazonaws.com/1152303/p/imap_app_photo_1623771358482.jpg", "View")</f>
        <v>View</v>
      </c>
      <c r="F256" t="s">
        <v>82</v>
      </c>
      <c r="G256" t="s">
        <v>83</v>
      </c>
      <c r="H256">
        <v>56061</v>
      </c>
      <c r="I256" t="str">
        <f t="shared" si="11"/>
        <v>View</v>
      </c>
      <c r="J256" t="s">
        <v>82</v>
      </c>
      <c r="K256" t="s">
        <v>84</v>
      </c>
      <c r="L256">
        <v>56061</v>
      </c>
      <c r="M256">
        <v>61.18</v>
      </c>
      <c r="N256">
        <v>97.68</v>
      </c>
      <c r="O256">
        <v>1</v>
      </c>
      <c r="P256">
        <v>1</v>
      </c>
      <c r="R256" t="s">
        <v>23</v>
      </c>
      <c r="S256" t="s">
        <v>24</v>
      </c>
      <c r="T256" t="s">
        <v>316</v>
      </c>
    </row>
    <row r="257" spans="1:20" x14ac:dyDescent="0.25">
      <c r="A257">
        <v>56</v>
      </c>
      <c r="B257" t="str">
        <f>HYPERLINK("https://imapinvasives.natureserve.org/imap/services/page/Presence/510864.html", "View")</f>
        <v>View</v>
      </c>
      <c r="C257">
        <v>510864</v>
      </c>
      <c r="D257">
        <v>510864</v>
      </c>
      <c r="E257" t="str">
        <f>HYPERLINK("http://imap3images.s3-website-us-east-1.amazonaws.com/510864/p/photourl1_2017_05_16_audbowe_fbmlo4i0.jpg", "View")</f>
        <v>View</v>
      </c>
      <c r="F257" t="s">
        <v>82</v>
      </c>
      <c r="G257" t="s">
        <v>83</v>
      </c>
      <c r="H257">
        <v>56061</v>
      </c>
      <c r="I257" t="str">
        <f t="shared" si="11"/>
        <v>View</v>
      </c>
      <c r="J257" t="s">
        <v>82</v>
      </c>
      <c r="K257" t="s">
        <v>84</v>
      </c>
      <c r="L257">
        <v>56061</v>
      </c>
      <c r="M257">
        <v>32.5</v>
      </c>
      <c r="N257">
        <v>96.08</v>
      </c>
      <c r="O257">
        <v>1</v>
      </c>
      <c r="P257">
        <v>1</v>
      </c>
      <c r="R257" t="s">
        <v>23</v>
      </c>
      <c r="S257" t="s">
        <v>24</v>
      </c>
      <c r="T257" t="s">
        <v>316</v>
      </c>
    </row>
    <row r="258" spans="1:20" x14ac:dyDescent="0.25">
      <c r="A258">
        <v>57</v>
      </c>
      <c r="B258" t="str">
        <f>HYPERLINK("https://imapinvasives.natureserve.org/imap/services/page/Presence/527565.html", "View")</f>
        <v>View</v>
      </c>
      <c r="C258">
        <v>527565</v>
      </c>
      <c r="D258">
        <v>527565</v>
      </c>
      <c r="E258" t="str">
        <f>HYPERLINK("http://imap3images.s3-website-us-east-1.amazonaws.com/527565/p/photourl1_2018_06_27_julkostin_5la5da08.jpg", "View")</f>
        <v>View</v>
      </c>
      <c r="F258" t="s">
        <v>82</v>
      </c>
      <c r="G258" t="s">
        <v>83</v>
      </c>
      <c r="H258">
        <v>56061</v>
      </c>
      <c r="I258" t="str">
        <f t="shared" si="11"/>
        <v>View</v>
      </c>
      <c r="J258" t="s">
        <v>82</v>
      </c>
      <c r="K258" t="s">
        <v>84</v>
      </c>
      <c r="L258">
        <v>56061</v>
      </c>
      <c r="M258">
        <v>22.26</v>
      </c>
      <c r="N258">
        <v>49.77</v>
      </c>
      <c r="O258">
        <v>1</v>
      </c>
      <c r="P258">
        <v>1</v>
      </c>
      <c r="R258" t="s">
        <v>23</v>
      </c>
      <c r="S258" t="s">
        <v>39</v>
      </c>
      <c r="T258" t="s">
        <v>317</v>
      </c>
    </row>
    <row r="259" spans="1:20" x14ac:dyDescent="0.25">
      <c r="A259">
        <v>58</v>
      </c>
      <c r="B259" t="str">
        <f>HYPERLINK("https://imapinvasives.natureserve.org/imap/services/page/Presence/513075.html", "View")</f>
        <v>View</v>
      </c>
      <c r="C259">
        <v>513075</v>
      </c>
      <c r="D259">
        <v>513075</v>
      </c>
      <c r="E259" t="str">
        <f>HYPERLINK("http://imap3images.s3-website-us-east-1.amazonaws.com/513075/p/photourl1_2017_07_14_elirosenthal_uqv318fo.jpg", "View")</f>
        <v>View</v>
      </c>
      <c r="F259" t="s">
        <v>82</v>
      </c>
      <c r="G259" t="s">
        <v>83</v>
      </c>
      <c r="H259">
        <v>56061</v>
      </c>
      <c r="I259" t="str">
        <f t="shared" si="11"/>
        <v>View</v>
      </c>
      <c r="J259" t="s">
        <v>82</v>
      </c>
      <c r="K259" t="s">
        <v>84</v>
      </c>
      <c r="L259">
        <v>56061</v>
      </c>
      <c r="M259">
        <v>32.380000000000003</v>
      </c>
      <c r="N259">
        <v>61.22</v>
      </c>
      <c r="O259">
        <v>1</v>
      </c>
      <c r="P259">
        <v>1</v>
      </c>
      <c r="R259" t="s">
        <v>23</v>
      </c>
      <c r="S259" t="s">
        <v>24</v>
      </c>
      <c r="T259" t="s">
        <v>316</v>
      </c>
    </row>
    <row r="260" spans="1:20" x14ac:dyDescent="0.25">
      <c r="A260">
        <v>59</v>
      </c>
      <c r="B260" t="str">
        <f>HYPERLINK("https://imapinvasives.natureserve.org/imap/services/page/Presence/533326.html", "View")</f>
        <v>View</v>
      </c>
      <c r="C260">
        <v>533326</v>
      </c>
      <c r="D260">
        <v>533326</v>
      </c>
      <c r="E260" t="str">
        <f>HYPERLINK("http://imap3images.s3-website-us-east-1.amazonaws.com/533326/p/photourl1_2019_03_20_eldhall_mlu7k9j3.jpg", "View")</f>
        <v>View</v>
      </c>
      <c r="F260" t="s">
        <v>82</v>
      </c>
      <c r="G260" t="s">
        <v>83</v>
      </c>
      <c r="H260">
        <v>56061</v>
      </c>
      <c r="I260" t="str">
        <f>HYPERLINK("https://www.inaturalist.org/taxa/55830-Glechoma-hederacea", "View")</f>
        <v>View</v>
      </c>
      <c r="J260" t="s">
        <v>103</v>
      </c>
      <c r="K260" t="s">
        <v>104</v>
      </c>
      <c r="L260">
        <v>55830</v>
      </c>
      <c r="M260">
        <v>30.63</v>
      </c>
      <c r="N260">
        <v>99.49</v>
      </c>
      <c r="O260">
        <v>0</v>
      </c>
      <c r="P260">
        <v>0</v>
      </c>
      <c r="R260" t="s">
        <v>27</v>
      </c>
      <c r="S260" t="s">
        <v>24</v>
      </c>
      <c r="T260" t="s">
        <v>316</v>
      </c>
    </row>
    <row r="261" spans="1:20" x14ac:dyDescent="0.25">
      <c r="A261">
        <v>60</v>
      </c>
      <c r="B261" t="str">
        <f>HYPERLINK("https://imapinvasives.natureserve.org/imap/services/page/Presence/420427.html", "View")</f>
        <v>View</v>
      </c>
      <c r="C261">
        <v>420427</v>
      </c>
      <c r="D261">
        <v>420427</v>
      </c>
      <c r="E261" t="str">
        <f>HYPERLINK("http://imap3images.s3-website-us-east-1.amazonaws.com/420427/p/photourl1_2014_09_09_jerkrajna_ipte22ym.jpg", "View")</f>
        <v>View</v>
      </c>
      <c r="F261" t="s">
        <v>82</v>
      </c>
      <c r="G261" t="s">
        <v>83</v>
      </c>
      <c r="H261">
        <v>56061</v>
      </c>
      <c r="I261" t="str">
        <f>HYPERLINK("https://www.inaturalist.org/taxa/56061-Alliaria-petiolata", "View")</f>
        <v>View</v>
      </c>
      <c r="J261" t="s">
        <v>82</v>
      </c>
      <c r="K261" t="s">
        <v>84</v>
      </c>
      <c r="L261">
        <v>56061</v>
      </c>
      <c r="M261">
        <v>22.62</v>
      </c>
      <c r="N261">
        <v>33.36</v>
      </c>
      <c r="O261">
        <v>1</v>
      </c>
      <c r="P261">
        <v>1</v>
      </c>
      <c r="R261" t="s">
        <v>23</v>
      </c>
      <c r="S261" t="s">
        <v>64</v>
      </c>
      <c r="T261" t="s">
        <v>317</v>
      </c>
    </row>
    <row r="262" spans="1:20" x14ac:dyDescent="0.25">
      <c r="A262">
        <v>61</v>
      </c>
      <c r="B262" t="str">
        <f>HYPERLINK("https://imapinvasives.natureserve.org/imap/services/page/Presence/1282951.html", "View")</f>
        <v>View</v>
      </c>
      <c r="C262">
        <v>1282951</v>
      </c>
      <c r="D262">
        <v>1292453</v>
      </c>
      <c r="E262" t="str">
        <f>HYPERLINK("http://imap3images.s3-website-us-east-1.amazonaws.com/1292453/p/Photo_1.jpg", "View")</f>
        <v>View</v>
      </c>
      <c r="F262" t="s">
        <v>82</v>
      </c>
      <c r="G262" t="s">
        <v>83</v>
      </c>
      <c r="H262">
        <v>56061</v>
      </c>
      <c r="I262" t="str">
        <f>HYPERLINK("https://www.inaturalist.org/taxa/56061-Alliaria-petiolata", "View")</f>
        <v>View</v>
      </c>
      <c r="J262" t="s">
        <v>82</v>
      </c>
      <c r="K262" t="s">
        <v>84</v>
      </c>
      <c r="L262">
        <v>56061</v>
      </c>
      <c r="M262">
        <v>47.72</v>
      </c>
      <c r="N262">
        <v>57.69</v>
      </c>
      <c r="O262">
        <v>1</v>
      </c>
      <c r="P262">
        <v>1</v>
      </c>
      <c r="R262" t="s">
        <v>23</v>
      </c>
      <c r="S262" t="s">
        <v>39</v>
      </c>
      <c r="T262" t="s">
        <v>317</v>
      </c>
    </row>
    <row r="263" spans="1:20" x14ac:dyDescent="0.25">
      <c r="A263">
        <v>62</v>
      </c>
      <c r="B263" t="str">
        <f>HYPERLINK("https://imapinvasives.natureserve.org/imap/services/page/Presence/1273444.html", "View")</f>
        <v>View</v>
      </c>
      <c r="C263">
        <v>1273444</v>
      </c>
      <c r="D263">
        <v>1282603</v>
      </c>
      <c r="E263" t="str">
        <f>HYPERLINK("http://imap3images.s3-website-us-east-1.amazonaws.com/1282603/p/Photo2-20220601-143000.jpg", "View")</f>
        <v>View</v>
      </c>
      <c r="F263" t="s">
        <v>82</v>
      </c>
      <c r="G263" t="s">
        <v>83</v>
      </c>
      <c r="H263">
        <v>56061</v>
      </c>
      <c r="I263" t="str">
        <f>HYPERLINK("https://www.inaturalist.org/taxa/56061-Alliaria-petiolata", "View")</f>
        <v>View</v>
      </c>
      <c r="J263" t="s">
        <v>82</v>
      </c>
      <c r="K263" t="s">
        <v>84</v>
      </c>
      <c r="L263">
        <v>56061</v>
      </c>
      <c r="M263">
        <v>90.87</v>
      </c>
      <c r="N263">
        <v>98.92</v>
      </c>
      <c r="O263">
        <v>1</v>
      </c>
      <c r="P263">
        <v>1</v>
      </c>
      <c r="R263" t="s">
        <v>23</v>
      </c>
      <c r="S263" t="s">
        <v>24</v>
      </c>
      <c r="T263" t="s">
        <v>316</v>
      </c>
    </row>
    <row r="264" spans="1:20" x14ac:dyDescent="0.25">
      <c r="A264">
        <v>63</v>
      </c>
      <c r="B264" t="str">
        <f>HYPERLINK("https://imapinvasives.natureserve.org/imap/services/page/Presence/1051282.html", "View")</f>
        <v>View</v>
      </c>
      <c r="C264">
        <v>1051282</v>
      </c>
      <c r="D264">
        <v>1055340</v>
      </c>
      <c r="E264" t="str">
        <f>HYPERLINK("http://imap3images.s3-website-us-east-1.amazonaws.com/1055340/p/imap_app_photo_1592587840048.jpg", "View")</f>
        <v>View</v>
      </c>
      <c r="F264" t="s">
        <v>82</v>
      </c>
      <c r="G264" t="s">
        <v>83</v>
      </c>
      <c r="H264">
        <v>56061</v>
      </c>
      <c r="I264" t="str">
        <f>HYPERLINK("https://www.inaturalist.org/taxa/48618-Echinocystis-lobata", "View")</f>
        <v>View</v>
      </c>
      <c r="J264" t="s">
        <v>105</v>
      </c>
      <c r="K264" t="s">
        <v>106</v>
      </c>
      <c r="L264">
        <v>48618</v>
      </c>
      <c r="M264">
        <v>29.82</v>
      </c>
      <c r="N264">
        <v>15.07</v>
      </c>
      <c r="O264">
        <v>0</v>
      </c>
      <c r="P264">
        <v>0</v>
      </c>
      <c r="R264" t="s">
        <v>40</v>
      </c>
      <c r="S264" t="s">
        <v>33</v>
      </c>
      <c r="T264" t="s">
        <v>317</v>
      </c>
    </row>
    <row r="265" spans="1:20" x14ac:dyDescent="0.25">
      <c r="A265">
        <v>64</v>
      </c>
      <c r="B265" t="str">
        <f>HYPERLINK("https://imapinvasives.natureserve.org/imap/services/page/Presence/1047044.html", "View")</f>
        <v>View</v>
      </c>
      <c r="C265">
        <v>1047044</v>
      </c>
      <c r="D265">
        <v>1050991</v>
      </c>
      <c r="E265" t="str">
        <f>HYPERLINK("http://imap3images.s3-website-us-east-1.amazonaws.com/1050991/p/imap_app_photo_1590633501506.jpg", "View")</f>
        <v>View</v>
      </c>
      <c r="F265" t="s">
        <v>82</v>
      </c>
      <c r="G265" t="s">
        <v>83</v>
      </c>
      <c r="H265">
        <v>56061</v>
      </c>
      <c r="I265" t="str">
        <f>HYPERLINK("https://www.inaturalist.org/taxa/131249-Persicaria-perfoliata", "View")</f>
        <v>View</v>
      </c>
      <c r="J265" t="s">
        <v>107</v>
      </c>
      <c r="K265" t="s">
        <v>108</v>
      </c>
      <c r="L265">
        <v>131249</v>
      </c>
      <c r="M265">
        <v>66.16</v>
      </c>
      <c r="N265">
        <v>14.32</v>
      </c>
      <c r="O265">
        <v>0</v>
      </c>
      <c r="P265">
        <v>0</v>
      </c>
      <c r="R265" t="s">
        <v>29</v>
      </c>
      <c r="S265" t="s">
        <v>33</v>
      </c>
      <c r="T265" t="s">
        <v>317</v>
      </c>
    </row>
    <row r="266" spans="1:20" x14ac:dyDescent="0.25">
      <c r="A266">
        <v>65</v>
      </c>
      <c r="B266" t="str">
        <f>HYPERLINK("https://imapinvasives.natureserve.org/imap/services/page/Presence/491631.html", "View")</f>
        <v>View</v>
      </c>
      <c r="C266">
        <v>491631</v>
      </c>
      <c r="D266">
        <v>491631</v>
      </c>
      <c r="E266" t="str">
        <f>HYPERLINK("http://imap3images.s3-website-us-east-1.amazonaws.com/491631/p/photourl1_2016_06_14_tylchristensen_cf1yqge8.jpg", "View")</f>
        <v>View</v>
      </c>
      <c r="F266" t="s">
        <v>82</v>
      </c>
      <c r="G266" t="s">
        <v>83</v>
      </c>
      <c r="H266">
        <v>56061</v>
      </c>
      <c r="I266" t="str">
        <f>HYPERLINK("https://www.inaturalist.org/taxa/56061-Alliaria-petiolata", "View")</f>
        <v>View</v>
      </c>
      <c r="J266" t="s">
        <v>82</v>
      </c>
      <c r="K266" t="s">
        <v>84</v>
      </c>
      <c r="L266">
        <v>56061</v>
      </c>
      <c r="M266">
        <v>45.83</v>
      </c>
      <c r="N266">
        <v>90.74</v>
      </c>
      <c r="O266">
        <v>1</v>
      </c>
      <c r="P266">
        <v>1</v>
      </c>
      <c r="R266" t="s">
        <v>23</v>
      </c>
      <c r="S266" t="s">
        <v>24</v>
      </c>
      <c r="T266" t="s">
        <v>316</v>
      </c>
    </row>
    <row r="267" spans="1:20" x14ac:dyDescent="0.25">
      <c r="A267">
        <v>66</v>
      </c>
      <c r="B267" t="str">
        <f>HYPERLINK("https://imapinvasives.natureserve.org/imap/services/page/Presence/418757.html", "View")</f>
        <v>View</v>
      </c>
      <c r="C267">
        <v>418757</v>
      </c>
      <c r="D267">
        <v>418757</v>
      </c>
      <c r="E267" t="str">
        <f>HYPERLINK("http://imap3images.s3-website-us-east-1.amazonaws.com/418757/p/photourl1_2014_08_06_andstadler_y6mo4jee.jpg", "View")</f>
        <v>View</v>
      </c>
      <c r="F267" t="s">
        <v>82</v>
      </c>
      <c r="G267" t="s">
        <v>83</v>
      </c>
      <c r="H267">
        <v>56061</v>
      </c>
      <c r="I267" t="str">
        <f>HYPERLINK("https://www.inaturalist.org/taxa/56061-Alliaria-petiolata", "View")</f>
        <v>View</v>
      </c>
      <c r="J267" t="s">
        <v>82</v>
      </c>
      <c r="K267" t="s">
        <v>84</v>
      </c>
      <c r="L267">
        <v>56061</v>
      </c>
      <c r="M267">
        <v>48.78</v>
      </c>
      <c r="N267">
        <v>83.71</v>
      </c>
      <c r="O267">
        <v>1</v>
      </c>
      <c r="P267">
        <v>1</v>
      </c>
      <c r="R267" t="s">
        <v>23</v>
      </c>
      <c r="S267" t="s">
        <v>24</v>
      </c>
      <c r="T267" t="s">
        <v>316</v>
      </c>
    </row>
    <row r="268" spans="1:20" x14ac:dyDescent="0.25">
      <c r="A268">
        <v>67</v>
      </c>
      <c r="B268" t="str">
        <f>HYPERLINK("https://imapinvasives.natureserve.org/imap/services/page/Presence/1017383.html", "View")</f>
        <v>View</v>
      </c>
      <c r="C268">
        <v>1017383</v>
      </c>
      <c r="D268">
        <v>1017876</v>
      </c>
      <c r="E268" t="str">
        <f>HYPERLINK("http://imap3images.s3-website-us-east-1.amazonaws.com/1017876/p/imap_app_photo_1560854810212.jpg", "View")</f>
        <v>View</v>
      </c>
      <c r="F268" t="s">
        <v>82</v>
      </c>
      <c r="G268" t="s">
        <v>83</v>
      </c>
      <c r="H268">
        <v>56061</v>
      </c>
      <c r="I268" t="str">
        <f>HYPERLINK("https://www.inaturalist.org/taxa/56061-Alliaria-petiolata", "View")</f>
        <v>View</v>
      </c>
      <c r="J268" t="s">
        <v>82</v>
      </c>
      <c r="K268" t="s">
        <v>84</v>
      </c>
      <c r="L268">
        <v>56061</v>
      </c>
      <c r="M268">
        <v>90.87</v>
      </c>
      <c r="N268">
        <v>41.08</v>
      </c>
      <c r="O268">
        <v>1</v>
      </c>
      <c r="P268">
        <v>1</v>
      </c>
      <c r="R268" t="s">
        <v>23</v>
      </c>
      <c r="S268" t="s">
        <v>33</v>
      </c>
      <c r="T268" t="s">
        <v>317</v>
      </c>
    </row>
    <row r="269" spans="1:20" x14ac:dyDescent="0.25">
      <c r="A269">
        <v>68</v>
      </c>
      <c r="B269" t="str">
        <f>HYPERLINK("https://imapinvasives.natureserve.org/imap/services/page/Presence/1157398.html", "View")</f>
        <v>View</v>
      </c>
      <c r="C269">
        <v>1157398</v>
      </c>
      <c r="D269">
        <v>1164438</v>
      </c>
      <c r="E269" t="str">
        <f>HYPERLINK("http://imap3images.s3-website-us-east-1.amazonaws.com/1164438/p/imap_app_photo_1628611653916.jpg", "View")</f>
        <v>View</v>
      </c>
      <c r="F269" t="s">
        <v>82</v>
      </c>
      <c r="G269" t="s">
        <v>83</v>
      </c>
      <c r="H269">
        <v>56061</v>
      </c>
      <c r="I269" t="str">
        <f>HYPERLINK("https://www.inaturalist.org/taxa/81594-Elymus-hystrix", "View")</f>
        <v>View</v>
      </c>
      <c r="J269" t="s">
        <v>109</v>
      </c>
      <c r="K269" t="s">
        <v>110</v>
      </c>
      <c r="L269">
        <v>81594</v>
      </c>
      <c r="M269">
        <v>6.77</v>
      </c>
      <c r="N269">
        <v>9.5</v>
      </c>
      <c r="O269">
        <v>0</v>
      </c>
      <c r="P269">
        <v>0</v>
      </c>
      <c r="R269" t="s">
        <v>40</v>
      </c>
      <c r="S269" t="s">
        <v>64</v>
      </c>
      <c r="T269" t="s">
        <v>317</v>
      </c>
    </row>
    <row r="270" spans="1:20" x14ac:dyDescent="0.25">
      <c r="A270">
        <v>69</v>
      </c>
      <c r="B270" t="str">
        <f>HYPERLINK("https://imapinvasives.natureserve.org/imap/services/page/Presence/1280618.html", "View")</f>
        <v>View</v>
      </c>
      <c r="C270">
        <v>1280618</v>
      </c>
      <c r="D270">
        <v>1290009</v>
      </c>
      <c r="E270" t="str">
        <f>HYPERLINK("http://imap3images.s3-website-us-east-1.amazonaws.com/1290009/p/Photo_1.jpg", "View")</f>
        <v>View</v>
      </c>
      <c r="F270" t="s">
        <v>82</v>
      </c>
      <c r="G270" t="s">
        <v>83</v>
      </c>
      <c r="H270">
        <v>56061</v>
      </c>
      <c r="I270" t="str">
        <f>HYPERLINK("https://www.inaturalist.org/taxa/55981-Lapsana-communis", "View")</f>
        <v>View</v>
      </c>
      <c r="J270" t="s">
        <v>111</v>
      </c>
      <c r="K270" t="s">
        <v>112</v>
      </c>
      <c r="L270">
        <v>55981</v>
      </c>
      <c r="M270">
        <v>11.03</v>
      </c>
      <c r="N270">
        <v>54.25</v>
      </c>
      <c r="O270">
        <v>1</v>
      </c>
      <c r="P270">
        <v>0</v>
      </c>
      <c r="R270" t="s">
        <v>23</v>
      </c>
      <c r="S270" t="s">
        <v>24</v>
      </c>
      <c r="T270" t="s">
        <v>316</v>
      </c>
    </row>
    <row r="271" spans="1:20" x14ac:dyDescent="0.25">
      <c r="A271">
        <v>70</v>
      </c>
      <c r="B271" t="str">
        <f>HYPERLINK("https://imapinvasives.natureserve.org/imap/services/page/Presence/1274138.html", "View")</f>
        <v>View</v>
      </c>
      <c r="C271">
        <v>1274138</v>
      </c>
      <c r="D271">
        <v>1283344</v>
      </c>
      <c r="E271" t="str">
        <f>HYPERLINK("http://imap3images.s3-website-us-east-1.amazonaws.com/1283344/p/imap_app_photo_1655076250679.jpg", "View")</f>
        <v>View</v>
      </c>
      <c r="F271" t="s">
        <v>82</v>
      </c>
      <c r="G271" t="s">
        <v>83</v>
      </c>
      <c r="H271">
        <v>56061</v>
      </c>
      <c r="I271" t="str">
        <f>HYPERLINK("https://www.inaturalist.org/taxa/56061-Alliaria-petiolata", "View")</f>
        <v>View</v>
      </c>
      <c r="J271" t="s">
        <v>82</v>
      </c>
      <c r="K271" t="s">
        <v>84</v>
      </c>
      <c r="L271">
        <v>56061</v>
      </c>
      <c r="M271">
        <v>48.45</v>
      </c>
      <c r="N271">
        <v>38.76</v>
      </c>
      <c r="O271">
        <v>1</v>
      </c>
      <c r="P271">
        <v>1</v>
      </c>
      <c r="R271" t="s">
        <v>23</v>
      </c>
      <c r="S271" t="s">
        <v>79</v>
      </c>
      <c r="T271" t="s">
        <v>317</v>
      </c>
    </row>
    <row r="272" spans="1:20" x14ac:dyDescent="0.25">
      <c r="A272">
        <v>71</v>
      </c>
      <c r="B272" t="str">
        <f>HYPERLINK("https://imapinvasives.natureserve.org/imap/services/page/Presence/1398693.html", "View")</f>
        <v>View</v>
      </c>
      <c r="C272">
        <v>1398693</v>
      </c>
      <c r="D272">
        <v>1415785</v>
      </c>
      <c r="E272" t="str">
        <f>HYPERLINK("http://imap3images.s3-website-us-east-1.amazonaws.com/1415785/p/imap_app_photo_1715474599852.jpg", "View")</f>
        <v>View</v>
      </c>
      <c r="F272" t="s">
        <v>82</v>
      </c>
      <c r="G272" t="s">
        <v>83</v>
      </c>
      <c r="H272">
        <v>56061</v>
      </c>
      <c r="I272" t="str">
        <f>HYPERLINK("https://www.inaturalist.org/taxa/56061-Alliaria-petiolata", "View")</f>
        <v>View</v>
      </c>
      <c r="J272" t="s">
        <v>82</v>
      </c>
      <c r="K272" t="s">
        <v>84</v>
      </c>
      <c r="L272">
        <v>56061</v>
      </c>
      <c r="M272">
        <v>42.62</v>
      </c>
      <c r="N272">
        <v>99.94</v>
      </c>
      <c r="O272">
        <v>1</v>
      </c>
      <c r="P272">
        <v>1</v>
      </c>
      <c r="R272" t="s">
        <v>23</v>
      </c>
      <c r="S272" t="s">
        <v>24</v>
      </c>
      <c r="T272" t="s">
        <v>316</v>
      </c>
    </row>
    <row r="273" spans="1:20" x14ac:dyDescent="0.25">
      <c r="A273">
        <v>72</v>
      </c>
      <c r="B273" t="str">
        <f>HYPERLINK("https://imapinvasives.natureserve.org/imap/services/page/Presence/496138.html", "View")</f>
        <v>View</v>
      </c>
      <c r="C273">
        <v>496138</v>
      </c>
      <c r="D273">
        <v>496138</v>
      </c>
      <c r="E273" t="str">
        <f>HYPERLINK("http://imap3images.s3-website-us-east-1.amazonaws.com/496138/p/photourl1_2016_10_17_julgrinstead_8oz86628.jpg", "View")</f>
        <v>View</v>
      </c>
      <c r="F273" t="s">
        <v>82</v>
      </c>
      <c r="G273" t="s">
        <v>83</v>
      </c>
      <c r="H273">
        <v>56061</v>
      </c>
      <c r="I273" t="str">
        <f>HYPERLINK("https://www.inaturalist.org/taxa/56061-Alliaria-petiolata", "View")</f>
        <v>View</v>
      </c>
      <c r="J273" t="s">
        <v>82</v>
      </c>
      <c r="K273" t="s">
        <v>84</v>
      </c>
      <c r="L273">
        <v>56061</v>
      </c>
      <c r="M273">
        <v>42.62</v>
      </c>
      <c r="N273">
        <v>99.2</v>
      </c>
      <c r="O273">
        <v>1</v>
      </c>
      <c r="P273">
        <v>1</v>
      </c>
      <c r="R273" t="s">
        <v>23</v>
      </c>
      <c r="S273" t="s">
        <v>24</v>
      </c>
      <c r="T273" t="s">
        <v>316</v>
      </c>
    </row>
    <row r="274" spans="1:20" x14ac:dyDescent="0.25">
      <c r="A274">
        <v>73</v>
      </c>
      <c r="B274" t="str">
        <f>HYPERLINK("https://imapinvasives.natureserve.org/imap/services/page/Presence/1023101.html", "View")</f>
        <v>View</v>
      </c>
      <c r="C274">
        <v>1023101</v>
      </c>
      <c r="D274">
        <v>1023672</v>
      </c>
      <c r="E274" t="str">
        <f>HYPERLINK("http://imap3images.s3-website-us-east-1.amazonaws.com/1023672/p/Photo3-20180618-155944.jpg", "View")</f>
        <v>View</v>
      </c>
      <c r="F274" t="s">
        <v>82</v>
      </c>
      <c r="G274" t="s">
        <v>83</v>
      </c>
      <c r="H274">
        <v>56061</v>
      </c>
      <c r="I274" t="str">
        <f>HYPERLINK("https://www.inaturalist.org/taxa/56061-Alliaria-petiolata", "View")</f>
        <v>View</v>
      </c>
      <c r="J274" t="s">
        <v>82</v>
      </c>
      <c r="K274" t="s">
        <v>84</v>
      </c>
      <c r="L274">
        <v>56061</v>
      </c>
      <c r="M274">
        <v>71.150000000000006</v>
      </c>
      <c r="N274">
        <v>78.95</v>
      </c>
      <c r="O274">
        <v>1</v>
      </c>
      <c r="P274">
        <v>1</v>
      </c>
      <c r="R274" t="s">
        <v>23</v>
      </c>
      <c r="S274" t="s">
        <v>34</v>
      </c>
      <c r="T274" t="s">
        <v>317</v>
      </c>
    </row>
    <row r="275" spans="1:20" x14ac:dyDescent="0.25">
      <c r="A275">
        <v>74</v>
      </c>
      <c r="B275" t="str">
        <f>HYPERLINK("https://imapinvasives.natureserve.org/imap/services/page/Presence/1162808.html", "View")</f>
        <v>View</v>
      </c>
      <c r="C275">
        <v>1162808</v>
      </c>
      <c r="D275">
        <v>1169984</v>
      </c>
      <c r="E275" t="str">
        <f>HYPERLINK("http://imap3images.s3-website-us-east-1.amazonaws.com/1169984/p/D3A9BF6D-534D-443F-8E66-56502E665BC2.jpeg", "View")</f>
        <v>View</v>
      </c>
      <c r="F275" t="s">
        <v>82</v>
      </c>
      <c r="G275" t="s">
        <v>83</v>
      </c>
      <c r="H275">
        <v>56061</v>
      </c>
      <c r="I275" t="str">
        <f>HYPERLINK("https://www.inaturalist.org/taxa/58727-Berberis-thunbergii", "View")</f>
        <v>View</v>
      </c>
      <c r="J275" t="s">
        <v>113</v>
      </c>
      <c r="K275" t="s">
        <v>114</v>
      </c>
      <c r="L275">
        <v>58727</v>
      </c>
      <c r="M275">
        <v>13.25</v>
      </c>
      <c r="N275">
        <v>31.77</v>
      </c>
      <c r="O275">
        <v>0</v>
      </c>
      <c r="P275">
        <v>0</v>
      </c>
      <c r="R275" t="s">
        <v>29</v>
      </c>
      <c r="S275" t="s">
        <v>33</v>
      </c>
      <c r="T275" t="s">
        <v>317</v>
      </c>
    </row>
    <row r="276" spans="1:20" x14ac:dyDescent="0.25">
      <c r="A276">
        <v>75</v>
      </c>
      <c r="B276" t="str">
        <f>HYPERLINK("https://imapinvasives.natureserve.org/imap/services/page/Presence/1299159.html", "View")</f>
        <v>View</v>
      </c>
      <c r="C276">
        <v>1299159</v>
      </c>
      <c r="D276">
        <v>1309493</v>
      </c>
      <c r="E276" t="str">
        <f>HYPERLINK("http://imap3images.s3-website-us-east-1.amazonaws.com/1309493/p/imap_app_photo_1666103584190.jpg", "View")</f>
        <v>View</v>
      </c>
      <c r="F276" t="s">
        <v>82</v>
      </c>
      <c r="G276" t="s">
        <v>83</v>
      </c>
      <c r="H276">
        <v>56061</v>
      </c>
      <c r="I276" t="str">
        <f>HYPERLINK("https://www.inaturalist.org/taxa/83073-Solidago-gigantea", "View")</f>
        <v>View</v>
      </c>
      <c r="J276" t="s">
        <v>115</v>
      </c>
      <c r="K276" t="s">
        <v>116</v>
      </c>
      <c r="L276">
        <v>83073</v>
      </c>
      <c r="M276">
        <v>3.82</v>
      </c>
      <c r="N276">
        <v>8.43</v>
      </c>
      <c r="O276">
        <v>0</v>
      </c>
      <c r="P276">
        <v>0</v>
      </c>
      <c r="R276" t="s">
        <v>40</v>
      </c>
      <c r="S276" t="s">
        <v>64</v>
      </c>
      <c r="T276" t="s">
        <v>317</v>
      </c>
    </row>
    <row r="277" spans="1:20" x14ac:dyDescent="0.25">
      <c r="A277">
        <v>76</v>
      </c>
      <c r="B277" t="str">
        <f>HYPERLINK("https://imapinvasives.natureserve.org/imap/services/page/Presence/1417252.html", "View")</f>
        <v>View</v>
      </c>
      <c r="C277">
        <v>1417252</v>
      </c>
      <c r="D277">
        <v>1430900</v>
      </c>
      <c r="E277" t="str">
        <f>HYPERLINK("http://imap3images.s3-website-us-east-1.amazonaws.com/1430900/p/imap_app_photo_1720636449513.jpg", "View")</f>
        <v>View</v>
      </c>
      <c r="F277" t="s">
        <v>82</v>
      </c>
      <c r="G277" t="s">
        <v>83</v>
      </c>
      <c r="H277">
        <v>56061</v>
      </c>
      <c r="I277" t="str">
        <f>HYPERLINK("https://www.inaturalist.org/taxa/60746-Smilax-rotundifolia", "View")</f>
        <v>View</v>
      </c>
      <c r="J277" t="s">
        <v>45</v>
      </c>
      <c r="K277" t="s">
        <v>46</v>
      </c>
      <c r="L277">
        <v>60746</v>
      </c>
      <c r="M277">
        <v>34.35</v>
      </c>
      <c r="N277">
        <v>20.69</v>
      </c>
      <c r="O277">
        <v>0</v>
      </c>
      <c r="P277">
        <v>0</v>
      </c>
      <c r="R277" t="s">
        <v>40</v>
      </c>
      <c r="S277" t="s">
        <v>64</v>
      </c>
      <c r="T277" t="s">
        <v>317</v>
      </c>
    </row>
    <row r="278" spans="1:20" x14ac:dyDescent="0.25">
      <c r="A278">
        <v>77</v>
      </c>
      <c r="B278" t="str">
        <f>HYPERLINK("https://imapinvasives.natureserve.org/imap/services/page/Presence/1332155.html", "View")</f>
        <v>View</v>
      </c>
      <c r="C278">
        <v>1332155</v>
      </c>
      <c r="D278">
        <v>1345914</v>
      </c>
      <c r="E278" t="str">
        <f>HYPERLINK("http://imap3images.s3-website-us-east-1.amazonaws.com/1345914/p/imap_app_photo_1685139007715.jpg", "View")</f>
        <v>View</v>
      </c>
      <c r="F278" t="s">
        <v>82</v>
      </c>
      <c r="G278" t="s">
        <v>83</v>
      </c>
      <c r="H278">
        <v>56061</v>
      </c>
      <c r="I278" t="str">
        <f>HYPERLINK("https://www.inaturalist.org/taxa/56061-Alliaria-petiolata", "View")</f>
        <v>View</v>
      </c>
      <c r="J278" t="s">
        <v>82</v>
      </c>
      <c r="K278" t="s">
        <v>84</v>
      </c>
      <c r="L278">
        <v>56061</v>
      </c>
      <c r="M278">
        <v>51.26</v>
      </c>
      <c r="N278">
        <v>92.82</v>
      </c>
      <c r="O278">
        <v>1</v>
      </c>
      <c r="P278">
        <v>1</v>
      </c>
      <c r="R278" t="s">
        <v>23</v>
      </c>
      <c r="S278" t="s">
        <v>24</v>
      </c>
      <c r="T278" t="s">
        <v>316</v>
      </c>
    </row>
    <row r="279" spans="1:20" x14ac:dyDescent="0.25">
      <c r="A279">
        <v>78</v>
      </c>
      <c r="B279" t="str">
        <f>HYPERLINK("https://imapinvasives.natureserve.org/imap/services/page/Presence/491647.html", "View")</f>
        <v>View</v>
      </c>
      <c r="C279">
        <v>491647</v>
      </c>
      <c r="D279">
        <v>491647</v>
      </c>
      <c r="E279" t="str">
        <f>HYPERLINK("http://imap3images.s3-website-us-east-1.amazonaws.com/491647/p/photourl1_2016_06_14_tylchristensen_cmxdloz2.jpg", "View")</f>
        <v>View</v>
      </c>
      <c r="F279" t="s">
        <v>82</v>
      </c>
      <c r="G279" t="s">
        <v>83</v>
      </c>
      <c r="H279">
        <v>56061</v>
      </c>
      <c r="I279" t="str">
        <f>HYPERLINK("https://www.inaturalist.org/taxa/56061-Alliaria-petiolata", "View")</f>
        <v>View</v>
      </c>
      <c r="J279" t="s">
        <v>82</v>
      </c>
      <c r="K279" t="s">
        <v>84</v>
      </c>
      <c r="L279">
        <v>56061</v>
      </c>
      <c r="M279">
        <v>45.83</v>
      </c>
      <c r="N279">
        <v>92.69</v>
      </c>
      <c r="O279">
        <v>1</v>
      </c>
      <c r="P279">
        <v>1</v>
      </c>
      <c r="R279" t="s">
        <v>23</v>
      </c>
      <c r="S279" t="s">
        <v>24</v>
      </c>
      <c r="T279" t="s">
        <v>316</v>
      </c>
    </row>
    <row r="280" spans="1:20" x14ac:dyDescent="0.25">
      <c r="A280">
        <v>79</v>
      </c>
      <c r="B280" t="str">
        <f>HYPERLINK("https://imapinvasives.natureserve.org/imap/services/page/Presence/1054833.html", "View")</f>
        <v>View</v>
      </c>
      <c r="C280">
        <v>1054833</v>
      </c>
      <c r="D280">
        <v>1059173</v>
      </c>
      <c r="E280" t="str">
        <f>HYPERLINK("http://imap3images.s3-website-us-east-1.amazonaws.com/1059173/p/imap_app_photo_1594227584427.jpg", "View")</f>
        <v>View</v>
      </c>
      <c r="F280" t="s">
        <v>82</v>
      </c>
      <c r="G280" t="s">
        <v>83</v>
      </c>
      <c r="H280">
        <v>56061</v>
      </c>
      <c r="I280" t="str">
        <f>HYPERLINK("https://www.inaturalist.org/taxa/56061-Alliaria-petiolata", "View")</f>
        <v>View</v>
      </c>
      <c r="J280" t="s">
        <v>82</v>
      </c>
      <c r="K280" t="s">
        <v>84</v>
      </c>
      <c r="L280">
        <v>56061</v>
      </c>
      <c r="M280">
        <v>43.48</v>
      </c>
      <c r="N280">
        <v>99.92</v>
      </c>
      <c r="O280">
        <v>1</v>
      </c>
      <c r="P280">
        <v>1</v>
      </c>
      <c r="R280" t="s">
        <v>23</v>
      </c>
      <c r="S280" t="s">
        <v>24</v>
      </c>
      <c r="T280" t="s">
        <v>316</v>
      </c>
    </row>
    <row r="281" spans="1:20" x14ac:dyDescent="0.25">
      <c r="A281">
        <v>80</v>
      </c>
      <c r="B281" t="str">
        <f>HYPERLINK("https://imapinvasives.natureserve.org/imap/services/page/Presence/1269659.html", "View")</f>
        <v>View</v>
      </c>
      <c r="C281">
        <v>1269659</v>
      </c>
      <c r="D281">
        <v>1278588</v>
      </c>
      <c r="E281" t="str">
        <f>HYPERLINK("http://imap3images.s3-website-us-east-1.amazonaws.com/1278588/p/imap_app_photo_1649866689744.jpg", "View")</f>
        <v>View</v>
      </c>
      <c r="F281" t="s">
        <v>82</v>
      </c>
      <c r="G281" t="s">
        <v>83</v>
      </c>
      <c r="H281">
        <v>56061</v>
      </c>
      <c r="I281" t="str">
        <f>HYPERLINK("https://www.inaturalist.org/taxa/56061-Alliaria-petiolata", "View")</f>
        <v>View</v>
      </c>
      <c r="J281" t="s">
        <v>82</v>
      </c>
      <c r="K281" t="s">
        <v>84</v>
      </c>
      <c r="L281">
        <v>56061</v>
      </c>
      <c r="M281">
        <v>39.44</v>
      </c>
      <c r="N281">
        <v>99.92</v>
      </c>
      <c r="O281">
        <v>1</v>
      </c>
      <c r="P281">
        <v>1</v>
      </c>
      <c r="R281" t="s">
        <v>23</v>
      </c>
      <c r="S281" t="s">
        <v>24</v>
      </c>
      <c r="T281" t="s">
        <v>316</v>
      </c>
    </row>
    <row r="282" spans="1:20" x14ac:dyDescent="0.25">
      <c r="A282">
        <v>81</v>
      </c>
      <c r="B282" t="str">
        <f>HYPERLINK("https://imapinvasives.natureserve.org/imap/services/page/Presence/491642.html", "View")</f>
        <v>View</v>
      </c>
      <c r="C282">
        <v>491642</v>
      </c>
      <c r="D282">
        <v>491642</v>
      </c>
      <c r="E282" t="str">
        <f>HYPERLINK("http://imap3images.s3-website-us-east-1.amazonaws.com/491642/p/photourl1_2016_06_14_tylchristensen_hwu0yghe.jpg", "View")</f>
        <v>View</v>
      </c>
      <c r="F282" t="s">
        <v>82</v>
      </c>
      <c r="G282" t="s">
        <v>83</v>
      </c>
      <c r="H282">
        <v>56061</v>
      </c>
      <c r="I282" t="str">
        <f>HYPERLINK("https://www.inaturalist.org/taxa/55981-Lapsana-communis", "View")</f>
        <v>View</v>
      </c>
      <c r="J282" t="s">
        <v>111</v>
      </c>
      <c r="K282" t="s">
        <v>112</v>
      </c>
      <c r="L282">
        <v>55981</v>
      </c>
      <c r="M282">
        <v>20.49</v>
      </c>
      <c r="N282">
        <v>43.67</v>
      </c>
      <c r="O282">
        <v>0</v>
      </c>
      <c r="P282">
        <v>0</v>
      </c>
      <c r="R282" t="s">
        <v>40</v>
      </c>
      <c r="S282" t="s">
        <v>34</v>
      </c>
      <c r="T282" t="s">
        <v>317</v>
      </c>
    </row>
    <row r="283" spans="1:20" x14ac:dyDescent="0.25">
      <c r="A283">
        <v>82</v>
      </c>
      <c r="B283" t="str">
        <f>HYPERLINK("https://imapinvasives.natureserve.org/imap/services/page/Presence/1283044.html", "View")</f>
        <v>View</v>
      </c>
      <c r="C283">
        <v>1283044</v>
      </c>
      <c r="D283">
        <v>1292546</v>
      </c>
      <c r="E283" t="str">
        <f>HYPERLINK("http://imap3images.s3-website-us-east-1.amazonaws.com/1292546/p/Photo_1.jpg", "View")</f>
        <v>View</v>
      </c>
      <c r="F283" t="s">
        <v>82</v>
      </c>
      <c r="G283" t="s">
        <v>83</v>
      </c>
      <c r="H283">
        <v>56061</v>
      </c>
      <c r="I283" t="str">
        <f>HYPERLINK("https://www.inaturalist.org/taxa/76942-Erigeron-strigosus", "View")</f>
        <v>View</v>
      </c>
      <c r="J283" t="s">
        <v>117</v>
      </c>
      <c r="K283" t="s">
        <v>118</v>
      </c>
      <c r="L283">
        <v>76942</v>
      </c>
      <c r="M283">
        <v>17.32</v>
      </c>
      <c r="N283">
        <v>53.9</v>
      </c>
      <c r="O283">
        <v>0</v>
      </c>
      <c r="P283">
        <v>0</v>
      </c>
      <c r="R283" t="s">
        <v>29</v>
      </c>
      <c r="S283" t="s">
        <v>28</v>
      </c>
      <c r="T283" t="s">
        <v>317</v>
      </c>
    </row>
    <row r="284" spans="1:20" x14ac:dyDescent="0.25">
      <c r="A284">
        <v>83</v>
      </c>
      <c r="B284" t="str">
        <f>HYPERLINK("https://imapinvasives.natureserve.org/imap/services/page/Presence/1014374.html", "View")</f>
        <v>View</v>
      </c>
      <c r="C284">
        <v>1014374</v>
      </c>
      <c r="D284">
        <v>1014639</v>
      </c>
      <c r="E284" t="str">
        <f>HYPERLINK("http://imap3images.s3-website-us-east-1.amazonaws.com/1014639/p/imap_app_photo_1558718754785.jpg", "View")</f>
        <v>View</v>
      </c>
      <c r="F284" t="s">
        <v>82</v>
      </c>
      <c r="G284" t="s">
        <v>83</v>
      </c>
      <c r="H284">
        <v>56061</v>
      </c>
      <c r="I284" t="str">
        <f>HYPERLINK("https://www.inaturalist.org/taxa/56061-Alliaria-petiolata", "View")</f>
        <v>View</v>
      </c>
      <c r="J284" t="s">
        <v>82</v>
      </c>
      <c r="K284" t="s">
        <v>84</v>
      </c>
      <c r="L284">
        <v>56061</v>
      </c>
      <c r="M284">
        <v>61.18</v>
      </c>
      <c r="N284">
        <v>25.85</v>
      </c>
      <c r="O284">
        <v>1</v>
      </c>
      <c r="P284">
        <v>1</v>
      </c>
      <c r="R284" t="s">
        <v>23</v>
      </c>
      <c r="S284" t="s">
        <v>33</v>
      </c>
      <c r="T284" t="s">
        <v>317</v>
      </c>
    </row>
    <row r="285" spans="1:20" x14ac:dyDescent="0.25">
      <c r="A285">
        <v>84</v>
      </c>
      <c r="B285" t="str">
        <f>HYPERLINK("https://imapinvasives.natureserve.org/imap/services/page/Presence/1279625.html", "View")</f>
        <v>View</v>
      </c>
      <c r="C285">
        <v>1279625</v>
      </c>
      <c r="D285">
        <v>1288989</v>
      </c>
      <c r="E285" t="str">
        <f>HYPERLINK("http://imap3images.s3-website-us-east-1.amazonaws.com/1288989/p/imap_app_photo_1656081659983.jpg", "View")</f>
        <v>View</v>
      </c>
      <c r="F285" t="s">
        <v>82</v>
      </c>
      <c r="G285" t="s">
        <v>83</v>
      </c>
      <c r="H285">
        <v>56061</v>
      </c>
      <c r="I285" t="str">
        <f>HYPERLINK("https://www.inaturalist.org/taxa/79475-Valeriana-occidentalis", "View")</f>
        <v>View</v>
      </c>
      <c r="J285" t="s">
        <v>119</v>
      </c>
      <c r="K285" t="s">
        <v>120</v>
      </c>
      <c r="L285">
        <v>79475</v>
      </c>
      <c r="M285">
        <v>0.01</v>
      </c>
      <c r="N285">
        <v>25.24</v>
      </c>
      <c r="O285">
        <v>0</v>
      </c>
      <c r="P285">
        <v>0</v>
      </c>
      <c r="R285" t="s">
        <v>29</v>
      </c>
      <c r="S285" t="s">
        <v>33</v>
      </c>
      <c r="T285" t="s">
        <v>317</v>
      </c>
    </row>
    <row r="286" spans="1:20" x14ac:dyDescent="0.25">
      <c r="A286">
        <v>85</v>
      </c>
      <c r="B286" t="str">
        <f>HYPERLINK("https://imapinvasives.natureserve.org/imap/services/page/Presence/1291908.html", "View")</f>
        <v>View</v>
      </c>
      <c r="C286">
        <v>1291908</v>
      </c>
      <c r="D286">
        <v>1302113</v>
      </c>
      <c r="E286" t="str">
        <f>HYPERLINK("http://imap3images.s3-website-us-east-1.amazonaws.com/1302113/p/imap_app_photo_1663086642815.jpg", "View")</f>
        <v>View</v>
      </c>
      <c r="F286" t="s">
        <v>82</v>
      </c>
      <c r="G286" t="s">
        <v>83</v>
      </c>
      <c r="H286">
        <v>56061</v>
      </c>
      <c r="I286" t="str">
        <f>HYPERLINK("https://www.inaturalist.org/taxa/58732-Toxicodendron-radicans", "View")</f>
        <v>View</v>
      </c>
      <c r="J286" t="s">
        <v>121</v>
      </c>
      <c r="K286" t="s">
        <v>122</v>
      </c>
      <c r="L286">
        <v>58732</v>
      </c>
      <c r="M286">
        <v>16.91</v>
      </c>
      <c r="N286">
        <v>14.33</v>
      </c>
      <c r="O286">
        <v>0</v>
      </c>
      <c r="P286">
        <v>0</v>
      </c>
      <c r="R286" t="s">
        <v>40</v>
      </c>
      <c r="S286" t="s">
        <v>64</v>
      </c>
      <c r="T286" t="s">
        <v>317</v>
      </c>
    </row>
    <row r="287" spans="1:20" x14ac:dyDescent="0.25">
      <c r="A287">
        <v>86</v>
      </c>
      <c r="B287" t="str">
        <f>HYPERLINK("https://imapinvasives.natureserve.org/imap/services/page/Presence/528049.html", "View")</f>
        <v>View</v>
      </c>
      <c r="C287">
        <v>528049</v>
      </c>
      <c r="D287">
        <v>528049</v>
      </c>
      <c r="E287" t="str">
        <f>HYPERLINK("http://imap3images.s3-website-us-east-1.amazonaws.com/528049/p/photourl1_2018_07_05_elllapine_mom6e7y5.jpg", "View")</f>
        <v>View</v>
      </c>
      <c r="F287" t="s">
        <v>82</v>
      </c>
      <c r="G287" t="s">
        <v>83</v>
      </c>
      <c r="H287">
        <v>56061</v>
      </c>
      <c r="I287" t="str">
        <f>HYPERLINK("https://www.inaturalist.org/taxa/56061-Alliaria-petiolata", "View")</f>
        <v>View</v>
      </c>
      <c r="J287" t="s">
        <v>82</v>
      </c>
      <c r="K287" t="s">
        <v>84</v>
      </c>
      <c r="L287">
        <v>56061</v>
      </c>
      <c r="M287">
        <v>46.91</v>
      </c>
      <c r="N287">
        <v>85.49</v>
      </c>
      <c r="O287">
        <v>1</v>
      </c>
      <c r="P287">
        <v>1</v>
      </c>
      <c r="R287" t="s">
        <v>23</v>
      </c>
      <c r="S287" t="s">
        <v>24</v>
      </c>
      <c r="T287" t="s">
        <v>316</v>
      </c>
    </row>
    <row r="288" spans="1:20" x14ac:dyDescent="0.25">
      <c r="A288">
        <v>87</v>
      </c>
      <c r="B288" t="str">
        <f>HYPERLINK("https://imapinvasives.natureserve.org/imap/services/page/Presence/1014103.html", "View")</f>
        <v>View</v>
      </c>
      <c r="C288">
        <v>1014103</v>
      </c>
      <c r="D288">
        <v>1014367</v>
      </c>
      <c r="E288" t="str">
        <f>HYPERLINK("http://imap3images.s3-website-us-east-1.amazonaws.com/1014367/p/imap_app_photo_1558547089923.jpg", "View")</f>
        <v>View</v>
      </c>
      <c r="F288" t="s">
        <v>82</v>
      </c>
      <c r="G288" t="s">
        <v>83</v>
      </c>
      <c r="H288">
        <v>56061</v>
      </c>
      <c r="I288" t="str">
        <f>HYPERLINK("https://www.inaturalist.org/taxa/56061-Alliaria-petiolata", "View")</f>
        <v>View</v>
      </c>
      <c r="J288" t="s">
        <v>82</v>
      </c>
      <c r="K288" t="s">
        <v>84</v>
      </c>
      <c r="L288">
        <v>56061</v>
      </c>
      <c r="M288">
        <v>49.72</v>
      </c>
      <c r="N288">
        <v>99.97</v>
      </c>
      <c r="O288">
        <v>1</v>
      </c>
      <c r="P288">
        <v>1</v>
      </c>
      <c r="R288" t="s">
        <v>23</v>
      </c>
      <c r="S288" t="s">
        <v>24</v>
      </c>
      <c r="T288" t="s">
        <v>316</v>
      </c>
    </row>
    <row r="289" spans="1:20" x14ac:dyDescent="0.25">
      <c r="A289">
        <v>88</v>
      </c>
      <c r="B289" t="str">
        <f>HYPERLINK("https://imapinvasives.natureserve.org/imap/services/page/Presence/1044982.html", "View")</f>
        <v>View</v>
      </c>
      <c r="C289">
        <v>1044982</v>
      </c>
      <c r="D289">
        <v>1048862</v>
      </c>
      <c r="E289" t="str">
        <f>HYPERLINK("http://imap3images.s3-website-us-east-1.amazonaws.com/1048862/p/imap_app_photo_1587434301366.jpg", "View")</f>
        <v>View</v>
      </c>
      <c r="F289" t="s">
        <v>82</v>
      </c>
      <c r="G289" t="s">
        <v>83</v>
      </c>
      <c r="H289">
        <v>56061</v>
      </c>
      <c r="I289" t="str">
        <f>HYPERLINK("https://www.inaturalist.org/taxa/56061-Alliaria-petiolata", "View")</f>
        <v>View</v>
      </c>
      <c r="J289" t="s">
        <v>82</v>
      </c>
      <c r="K289" t="s">
        <v>84</v>
      </c>
      <c r="L289">
        <v>56061</v>
      </c>
      <c r="M289">
        <v>38.26</v>
      </c>
      <c r="N289">
        <v>97.15</v>
      </c>
      <c r="O289">
        <v>1</v>
      </c>
      <c r="P289">
        <v>1</v>
      </c>
      <c r="R289" t="s">
        <v>23</v>
      </c>
      <c r="S289" t="s">
        <v>24</v>
      </c>
      <c r="T289" t="s">
        <v>316</v>
      </c>
    </row>
    <row r="290" spans="1:20" x14ac:dyDescent="0.25">
      <c r="A290">
        <v>89</v>
      </c>
      <c r="B290" t="str">
        <f>HYPERLINK("https://imapinvasives.natureserve.org/imap/services/page/Presence/511342.html", "View")</f>
        <v>View</v>
      </c>
      <c r="C290">
        <v>511342</v>
      </c>
      <c r="D290">
        <v>511342</v>
      </c>
      <c r="E290" t="str">
        <f>HYPERLINK("http://imap3images.s3-website-us-east-1.amazonaws.com/511342/p/photourl1_2017_05_30_casbradshaw_w34h29h6.jpg", "View")</f>
        <v>View</v>
      </c>
      <c r="F290" t="s">
        <v>82</v>
      </c>
      <c r="G290" t="s">
        <v>83</v>
      </c>
      <c r="H290">
        <v>56061</v>
      </c>
      <c r="I290" t="str">
        <f>HYPERLINK("https://www.inaturalist.org/taxa/56061-Alliaria-petiolata", "View")</f>
        <v>View</v>
      </c>
      <c r="J290" t="s">
        <v>82</v>
      </c>
      <c r="K290" t="s">
        <v>84</v>
      </c>
      <c r="L290">
        <v>56061</v>
      </c>
      <c r="M290">
        <v>61.18</v>
      </c>
      <c r="N290">
        <v>81.16</v>
      </c>
      <c r="O290">
        <v>1</v>
      </c>
      <c r="P290">
        <v>1</v>
      </c>
      <c r="R290" t="s">
        <v>23</v>
      </c>
      <c r="S290" t="s">
        <v>24</v>
      </c>
      <c r="T290" t="s">
        <v>316</v>
      </c>
    </row>
    <row r="291" spans="1:20" x14ac:dyDescent="0.25">
      <c r="A291">
        <v>90</v>
      </c>
      <c r="B291" t="str">
        <f>HYPERLINK("https://imapinvasives.natureserve.org/imap/services/page/Presence/1047050.html", "View")</f>
        <v>View</v>
      </c>
      <c r="C291">
        <v>1047050</v>
      </c>
      <c r="D291">
        <v>1050997</v>
      </c>
      <c r="E291" t="str">
        <f>HYPERLINK("http://imap3images.s3-website-us-east-1.amazonaws.com/1050997/p/imap_app_photo_1590633518718.jpg", "View")</f>
        <v>View</v>
      </c>
      <c r="F291" t="s">
        <v>82</v>
      </c>
      <c r="G291" t="s">
        <v>83</v>
      </c>
      <c r="H291">
        <v>56061</v>
      </c>
      <c r="I291" t="str">
        <f>HYPERLINK("https://www.inaturalist.org/taxa/82816-Viola-sororia", "View")</f>
        <v>View</v>
      </c>
      <c r="J291" t="s">
        <v>123</v>
      </c>
      <c r="K291" t="s">
        <v>124</v>
      </c>
      <c r="L291">
        <v>82816</v>
      </c>
      <c r="M291">
        <v>77.3</v>
      </c>
      <c r="N291">
        <v>19.75</v>
      </c>
      <c r="O291">
        <v>1</v>
      </c>
      <c r="P291">
        <v>0</v>
      </c>
      <c r="R291" t="s">
        <v>29</v>
      </c>
      <c r="S291" t="s">
        <v>33</v>
      </c>
      <c r="T291" t="s">
        <v>317</v>
      </c>
    </row>
    <row r="292" spans="1:20" x14ac:dyDescent="0.25">
      <c r="A292">
        <v>91</v>
      </c>
      <c r="B292" t="str">
        <f>HYPERLINK("https://imapinvasives.natureserve.org/imap/services/page/Presence/1121067.html", "View")</f>
        <v>View</v>
      </c>
      <c r="C292">
        <v>1121067</v>
      </c>
      <c r="D292">
        <v>1127229</v>
      </c>
      <c r="E292" t="str">
        <f>HYPERLINK("http://imap3images.s3-website-us-east-1.amazonaws.com/1127229/p/imap_app_photo_1616355789144.jpg", "View")</f>
        <v>View</v>
      </c>
      <c r="F292" t="s">
        <v>82</v>
      </c>
      <c r="G292" t="s">
        <v>83</v>
      </c>
      <c r="H292">
        <v>56061</v>
      </c>
      <c r="I292" t="str">
        <f>HYPERLINK("https://www.inaturalist.org/taxa/56061-Alliaria-petiolata", "View")</f>
        <v>View</v>
      </c>
      <c r="J292" t="s">
        <v>82</v>
      </c>
      <c r="K292" t="s">
        <v>84</v>
      </c>
      <c r="L292">
        <v>56061</v>
      </c>
      <c r="M292">
        <v>61.18</v>
      </c>
      <c r="N292">
        <v>80.25</v>
      </c>
      <c r="O292">
        <v>1</v>
      </c>
      <c r="P292">
        <v>1</v>
      </c>
      <c r="R292" t="s">
        <v>23</v>
      </c>
      <c r="S292" t="s">
        <v>24</v>
      </c>
      <c r="T292" t="s">
        <v>316</v>
      </c>
    </row>
    <row r="293" spans="1:20" x14ac:dyDescent="0.25">
      <c r="A293">
        <v>92</v>
      </c>
      <c r="B293" t="str">
        <f>HYPERLINK("https://imapinvasives.natureserve.org/imap/services/page/Presence/335205.html", "View")</f>
        <v>View</v>
      </c>
      <c r="C293">
        <v>335205</v>
      </c>
      <c r="D293">
        <v>335205</v>
      </c>
      <c r="E293" t="str">
        <f>HYPERLINK("http://imap3images.s3-website-us-east-1.amazonaws.com/335205/p/photo1_2013_06_13_brijune_xzkerlak.jpg", "View")</f>
        <v>View</v>
      </c>
      <c r="F293" t="s">
        <v>82</v>
      </c>
      <c r="G293" t="s">
        <v>83</v>
      </c>
      <c r="H293">
        <v>56061</v>
      </c>
      <c r="I293" t="str">
        <f>HYPERLINK("https://www.inaturalist.org/taxa/146715-Arnoglossum-atriplicifolium", "View")</f>
        <v>View</v>
      </c>
      <c r="J293" t="s">
        <v>125</v>
      </c>
      <c r="K293" t="s">
        <v>126</v>
      </c>
      <c r="L293">
        <v>146715</v>
      </c>
      <c r="M293">
        <v>0.36</v>
      </c>
      <c r="N293">
        <v>33.79</v>
      </c>
      <c r="O293">
        <v>1</v>
      </c>
      <c r="P293">
        <v>0</v>
      </c>
      <c r="R293" t="s">
        <v>29</v>
      </c>
      <c r="S293" t="s">
        <v>39</v>
      </c>
      <c r="T293" t="s">
        <v>317</v>
      </c>
    </row>
    <row r="294" spans="1:20" x14ac:dyDescent="0.25">
      <c r="A294">
        <v>93</v>
      </c>
      <c r="B294" t="str">
        <f>HYPERLINK("https://imapinvasives.natureserve.org/imap/services/page/Presence/1272894.html", "View")</f>
        <v>View</v>
      </c>
      <c r="C294">
        <v>1272894</v>
      </c>
      <c r="D294">
        <v>1281995</v>
      </c>
      <c r="E294" t="str">
        <f>HYPERLINK("http://imap3images.s3-website-us-east-1.amazonaws.com/1281995/p/imap_app_photo_1653574638705.jpg", "View")</f>
        <v>View</v>
      </c>
      <c r="F294" t="s">
        <v>82</v>
      </c>
      <c r="G294" t="s">
        <v>83</v>
      </c>
      <c r="H294">
        <v>56061</v>
      </c>
      <c r="I294" t="str">
        <f t="shared" ref="I294:I301" si="12">HYPERLINK("https://www.inaturalist.org/taxa/56061-Alliaria-petiolata", "View")</f>
        <v>View</v>
      </c>
      <c r="J294" t="s">
        <v>82</v>
      </c>
      <c r="K294" t="s">
        <v>84</v>
      </c>
      <c r="L294">
        <v>56061</v>
      </c>
      <c r="M294">
        <v>61.18</v>
      </c>
      <c r="N294">
        <v>96.31</v>
      </c>
      <c r="O294">
        <v>1</v>
      </c>
      <c r="P294">
        <v>1</v>
      </c>
      <c r="R294" t="s">
        <v>23</v>
      </c>
      <c r="S294" t="s">
        <v>24</v>
      </c>
      <c r="T294" t="s">
        <v>316</v>
      </c>
    </row>
    <row r="295" spans="1:20" x14ac:dyDescent="0.25">
      <c r="A295">
        <v>94</v>
      </c>
      <c r="B295" t="str">
        <f>HYPERLINK("https://imapinvasives.natureserve.org/imap/services/page/Presence/1120090.html", "View")</f>
        <v>View</v>
      </c>
      <c r="C295">
        <v>1120090</v>
      </c>
      <c r="D295">
        <v>1126246</v>
      </c>
      <c r="E295" t="str">
        <f>HYPERLINK("http://imap3images.s3-website-us-east-1.amazonaws.com/1126246/p/imap_app_photo_1615653130442.jpg", "View")</f>
        <v>View</v>
      </c>
      <c r="F295" t="s">
        <v>82</v>
      </c>
      <c r="G295" t="s">
        <v>83</v>
      </c>
      <c r="H295">
        <v>56061</v>
      </c>
      <c r="I295" t="str">
        <f t="shared" si="12"/>
        <v>View</v>
      </c>
      <c r="J295" t="s">
        <v>82</v>
      </c>
      <c r="K295" t="s">
        <v>84</v>
      </c>
      <c r="L295">
        <v>56061</v>
      </c>
      <c r="M295">
        <v>90.87</v>
      </c>
      <c r="N295">
        <v>98.44</v>
      </c>
      <c r="O295">
        <v>1</v>
      </c>
      <c r="P295">
        <v>1</v>
      </c>
      <c r="R295" t="s">
        <v>23</v>
      </c>
      <c r="S295" t="s">
        <v>24</v>
      </c>
      <c r="T295" t="s">
        <v>316</v>
      </c>
    </row>
    <row r="296" spans="1:20" x14ac:dyDescent="0.25">
      <c r="A296">
        <v>95</v>
      </c>
      <c r="B296" t="str">
        <f>HYPERLINK("https://imapinvasives.natureserve.org/imap/services/page/Presence/1443061.html", "View")</f>
        <v>View</v>
      </c>
      <c r="C296">
        <v>1443061</v>
      </c>
      <c r="D296">
        <v>1457678</v>
      </c>
      <c r="E296" t="str">
        <f>HYPERLINK("http://imap3images.s3-website-us-east-1.amazonaws.com/1457678/p/imap_app_photo_1724953558567.jpg", "View")</f>
        <v>View</v>
      </c>
      <c r="F296" t="s">
        <v>82</v>
      </c>
      <c r="G296" t="s">
        <v>83</v>
      </c>
      <c r="H296">
        <v>56061</v>
      </c>
      <c r="I296" t="str">
        <f t="shared" si="12"/>
        <v>View</v>
      </c>
      <c r="J296" t="s">
        <v>82</v>
      </c>
      <c r="K296" t="s">
        <v>84</v>
      </c>
      <c r="L296">
        <v>56061</v>
      </c>
      <c r="M296">
        <v>79.42</v>
      </c>
      <c r="N296">
        <v>98.75</v>
      </c>
      <c r="O296">
        <v>1</v>
      </c>
      <c r="P296">
        <v>1</v>
      </c>
      <c r="R296" t="s">
        <v>23</v>
      </c>
      <c r="S296" t="s">
        <v>64</v>
      </c>
      <c r="T296" t="s">
        <v>317</v>
      </c>
    </row>
    <row r="297" spans="1:20" x14ac:dyDescent="0.25">
      <c r="A297">
        <v>96</v>
      </c>
      <c r="B297" t="str">
        <f>HYPERLINK("https://imapinvasives.natureserve.org/imap/services/page/Presence/1332168.html", "View")</f>
        <v>View</v>
      </c>
      <c r="C297">
        <v>1332168</v>
      </c>
      <c r="D297">
        <v>1345927</v>
      </c>
      <c r="E297" t="str">
        <f>HYPERLINK("http://imap3images.s3-website-us-east-1.amazonaws.com/1345927/p/imap_app_photo_1685139089015.jpg", "View")</f>
        <v>View</v>
      </c>
      <c r="F297" t="s">
        <v>82</v>
      </c>
      <c r="G297" t="s">
        <v>83</v>
      </c>
      <c r="H297">
        <v>56061</v>
      </c>
      <c r="I297" t="str">
        <f t="shared" si="12"/>
        <v>View</v>
      </c>
      <c r="J297" t="s">
        <v>82</v>
      </c>
      <c r="K297" t="s">
        <v>84</v>
      </c>
      <c r="L297">
        <v>56061</v>
      </c>
      <c r="M297">
        <v>51.26</v>
      </c>
      <c r="N297">
        <v>74.56</v>
      </c>
      <c r="O297">
        <v>1</v>
      </c>
      <c r="P297">
        <v>1</v>
      </c>
      <c r="R297" t="s">
        <v>23</v>
      </c>
      <c r="S297" t="s">
        <v>34</v>
      </c>
      <c r="T297" t="s">
        <v>317</v>
      </c>
    </row>
    <row r="298" spans="1:20" x14ac:dyDescent="0.25">
      <c r="A298">
        <v>97</v>
      </c>
      <c r="B298" t="str">
        <f>HYPERLINK("https://imapinvasives.natureserve.org/imap/services/page/Presence/1140219.html", "View")</f>
        <v>View</v>
      </c>
      <c r="C298">
        <v>1140219</v>
      </c>
      <c r="D298">
        <v>1146734</v>
      </c>
      <c r="E298" t="str">
        <f>HYPERLINK("http://imap3images.s3-website-us-east-1.amazonaws.com/1146734/p/imap_app_photo_1622830534497.jpg", "View")</f>
        <v>View</v>
      </c>
      <c r="F298" t="s">
        <v>82</v>
      </c>
      <c r="G298" t="s">
        <v>83</v>
      </c>
      <c r="H298">
        <v>56061</v>
      </c>
      <c r="I298" t="str">
        <f t="shared" si="12"/>
        <v>View</v>
      </c>
      <c r="J298" t="s">
        <v>82</v>
      </c>
      <c r="K298" t="s">
        <v>84</v>
      </c>
      <c r="L298">
        <v>56061</v>
      </c>
      <c r="M298">
        <v>33.659999999999997</v>
      </c>
      <c r="N298">
        <v>99.21</v>
      </c>
      <c r="O298">
        <v>1</v>
      </c>
      <c r="P298">
        <v>1</v>
      </c>
      <c r="R298" t="s">
        <v>23</v>
      </c>
      <c r="S298" t="s">
        <v>24</v>
      </c>
      <c r="T298" t="s">
        <v>316</v>
      </c>
    </row>
    <row r="299" spans="1:20" x14ac:dyDescent="0.25">
      <c r="A299">
        <v>98</v>
      </c>
      <c r="B299" t="str">
        <f>HYPERLINK("https://imapinvasives.natureserve.org/imap/services/page/Presence/1391608.html", "View")</f>
        <v>View</v>
      </c>
      <c r="C299">
        <v>1391608</v>
      </c>
      <c r="D299">
        <v>1409741</v>
      </c>
      <c r="E299" t="str">
        <f>HYPERLINK("http://imap3images.s3-website-us-east-1.amazonaws.com/1409741/p/imap_app_photo_1710349247793.jpg", "View")</f>
        <v>View</v>
      </c>
      <c r="F299" t="s">
        <v>82</v>
      </c>
      <c r="G299" t="s">
        <v>83</v>
      </c>
      <c r="H299">
        <v>56061</v>
      </c>
      <c r="I299" t="str">
        <f t="shared" si="12"/>
        <v>View</v>
      </c>
      <c r="J299" t="s">
        <v>82</v>
      </c>
      <c r="K299" t="s">
        <v>84</v>
      </c>
      <c r="L299">
        <v>56061</v>
      </c>
      <c r="M299">
        <v>39.44</v>
      </c>
      <c r="N299">
        <v>89.66</v>
      </c>
      <c r="O299">
        <v>1</v>
      </c>
      <c r="P299">
        <v>1</v>
      </c>
      <c r="R299" t="s">
        <v>23</v>
      </c>
      <c r="S299" t="s">
        <v>24</v>
      </c>
      <c r="T299" t="s">
        <v>316</v>
      </c>
    </row>
    <row r="300" spans="1:20" x14ac:dyDescent="0.25">
      <c r="A300">
        <v>99</v>
      </c>
      <c r="B300" t="str">
        <f>HYPERLINK("https://imapinvasives.natureserve.org/imap/services/page/Presence/1334440.html", "View")</f>
        <v>View</v>
      </c>
      <c r="C300">
        <v>1334440</v>
      </c>
      <c r="D300">
        <v>1348560</v>
      </c>
      <c r="E300" t="str">
        <f>HYPERLINK("http://imap3images.s3-website-us-east-1.amazonaws.com/1348560/p/imap_app_photo_1686134645452.jpg", "View")</f>
        <v>View</v>
      </c>
      <c r="F300" t="s">
        <v>82</v>
      </c>
      <c r="G300" t="s">
        <v>83</v>
      </c>
      <c r="H300">
        <v>56061</v>
      </c>
      <c r="I300" t="str">
        <f t="shared" si="12"/>
        <v>View</v>
      </c>
      <c r="J300" t="s">
        <v>82</v>
      </c>
      <c r="K300" t="s">
        <v>84</v>
      </c>
      <c r="L300">
        <v>56061</v>
      </c>
      <c r="M300">
        <v>18.86</v>
      </c>
      <c r="N300">
        <v>96.44</v>
      </c>
      <c r="O300">
        <v>1</v>
      </c>
      <c r="P300">
        <v>1</v>
      </c>
      <c r="R300" t="s">
        <v>23</v>
      </c>
      <c r="S300" t="s">
        <v>39</v>
      </c>
      <c r="T300" t="s">
        <v>317</v>
      </c>
    </row>
    <row r="301" spans="1:20" x14ac:dyDescent="0.25">
      <c r="A301">
        <v>100</v>
      </c>
      <c r="B301" t="str">
        <f>HYPERLINK("https://imapinvasives.natureserve.org/imap/services/page/Presence/1334722.html", "View")</f>
        <v>View</v>
      </c>
      <c r="C301">
        <v>1334722</v>
      </c>
      <c r="D301">
        <v>1348901</v>
      </c>
      <c r="E301" t="str">
        <f>HYPERLINK("http://imap3images.s3-website-us-east-1.amazonaws.com/1348901/p/Photo1-20230605-163415.jpg", "View")</f>
        <v>View</v>
      </c>
      <c r="F301" t="s">
        <v>82</v>
      </c>
      <c r="G301" t="s">
        <v>83</v>
      </c>
      <c r="H301">
        <v>56061</v>
      </c>
      <c r="I301" t="str">
        <f t="shared" si="12"/>
        <v>View</v>
      </c>
      <c r="J301" t="s">
        <v>82</v>
      </c>
      <c r="K301" t="s">
        <v>84</v>
      </c>
      <c r="L301">
        <v>56061</v>
      </c>
      <c r="M301">
        <v>25.27</v>
      </c>
      <c r="N301">
        <v>98.96</v>
      </c>
      <c r="O301">
        <v>1</v>
      </c>
      <c r="P301">
        <v>1</v>
      </c>
      <c r="R301" t="s">
        <v>23</v>
      </c>
      <c r="S301" t="s">
        <v>24</v>
      </c>
      <c r="T301" t="s">
        <v>316</v>
      </c>
    </row>
    <row r="302" spans="1:20" x14ac:dyDescent="0.25">
      <c r="A302">
        <v>1</v>
      </c>
      <c r="B302" t="str">
        <f>HYPERLINK("https://imapinvasives.natureserve.org/imap/services/page/Presence/1258249.html", "View")</f>
        <v>View</v>
      </c>
      <c r="C302">
        <v>1258249</v>
      </c>
      <c r="D302">
        <v>1266883</v>
      </c>
      <c r="E302" t="str">
        <f>HYPERLINK("http://imap3images.s3-website-us-east-1.amazonaws.com/1266883/p/imap_app_photo_1647096791536.jpg", "View")</f>
        <v>View</v>
      </c>
      <c r="F302" t="s">
        <v>127</v>
      </c>
      <c r="G302" t="s">
        <v>128</v>
      </c>
      <c r="H302">
        <v>61513</v>
      </c>
      <c r="I302" t="str">
        <f t="shared" ref="I302:I307" si="13">HYPERLINK("https://www.inaturalist.org/taxa/61513-Adelges-tsugae", "View")</f>
        <v>View</v>
      </c>
      <c r="J302" t="s">
        <v>127</v>
      </c>
      <c r="K302" t="s">
        <v>129</v>
      </c>
      <c r="L302">
        <v>61513</v>
      </c>
      <c r="M302">
        <v>20.96</v>
      </c>
      <c r="N302">
        <v>56.88</v>
      </c>
      <c r="P302">
        <v>1</v>
      </c>
      <c r="R302" t="s">
        <v>23</v>
      </c>
      <c r="S302" t="s">
        <v>24</v>
      </c>
      <c r="T302" t="s">
        <v>316</v>
      </c>
    </row>
    <row r="303" spans="1:20" x14ac:dyDescent="0.25">
      <c r="A303">
        <v>2</v>
      </c>
      <c r="B303" t="str">
        <f>HYPERLINK("https://imapinvasives.natureserve.org/imap/services/page/Presence/1125580.html", "View")</f>
        <v>View</v>
      </c>
      <c r="C303">
        <v>1125580</v>
      </c>
      <c r="D303">
        <v>1131743</v>
      </c>
      <c r="E303" t="str">
        <f>HYPERLINK("http://imap3images.s3-website-us-east-1.amazonaws.com/1131743/p/imap_app_photo_1616769023059.jpg", "View")</f>
        <v>View</v>
      </c>
      <c r="F303" t="s">
        <v>127</v>
      </c>
      <c r="G303" t="s">
        <v>128</v>
      </c>
      <c r="H303">
        <v>61513</v>
      </c>
      <c r="I303" t="str">
        <f t="shared" si="13"/>
        <v>View</v>
      </c>
      <c r="J303" t="s">
        <v>127</v>
      </c>
      <c r="K303" t="s">
        <v>129</v>
      </c>
      <c r="L303">
        <v>61513</v>
      </c>
      <c r="M303">
        <v>10</v>
      </c>
      <c r="N303">
        <v>71.790000000000006</v>
      </c>
      <c r="P303">
        <v>1</v>
      </c>
      <c r="R303" t="s">
        <v>23</v>
      </c>
      <c r="S303" t="s">
        <v>24</v>
      </c>
      <c r="T303" t="s">
        <v>316</v>
      </c>
    </row>
    <row r="304" spans="1:20" x14ac:dyDescent="0.25">
      <c r="A304">
        <v>3</v>
      </c>
      <c r="B304" t="str">
        <f>HYPERLINK("https://imapinvasives.natureserve.org/imap/services/page/Presence/1269512.html", "View")</f>
        <v>View</v>
      </c>
      <c r="C304">
        <v>1269512</v>
      </c>
      <c r="D304">
        <v>1278432</v>
      </c>
      <c r="E304" t="str">
        <f>HYPERLINK("http://imap3images.s3-website-us-east-1.amazonaws.com/1278432/p/imap_app_photo_1649550392332.jpg", "View")</f>
        <v>View</v>
      </c>
      <c r="F304" t="s">
        <v>127</v>
      </c>
      <c r="G304" t="s">
        <v>128</v>
      </c>
      <c r="H304">
        <v>61513</v>
      </c>
      <c r="I304" t="str">
        <f t="shared" si="13"/>
        <v>View</v>
      </c>
      <c r="J304" t="s">
        <v>127</v>
      </c>
      <c r="K304" t="s">
        <v>129</v>
      </c>
      <c r="L304">
        <v>61513</v>
      </c>
      <c r="M304">
        <v>7.25</v>
      </c>
      <c r="N304">
        <v>59.84</v>
      </c>
      <c r="P304">
        <v>1</v>
      </c>
      <c r="R304" t="s">
        <v>23</v>
      </c>
      <c r="S304" t="s">
        <v>24</v>
      </c>
      <c r="T304" t="s">
        <v>316</v>
      </c>
    </row>
    <row r="305" spans="1:20" x14ac:dyDescent="0.25">
      <c r="A305">
        <v>4</v>
      </c>
      <c r="B305" t="str">
        <f>HYPERLINK("https://imapinvasives.natureserve.org/imap/services/page/Presence/1285973.html", "View")</f>
        <v>View</v>
      </c>
      <c r="C305">
        <v>1285973</v>
      </c>
      <c r="D305">
        <v>1295696</v>
      </c>
      <c r="E305" t="str">
        <f>HYPERLINK("http://imap3images.s3-website-us-east-1.amazonaws.com/1295696/p/HWA_Keeney_Swamp_SF.jpg", "View")</f>
        <v>View</v>
      </c>
      <c r="F305" t="s">
        <v>127</v>
      </c>
      <c r="G305" t="s">
        <v>128</v>
      </c>
      <c r="H305">
        <v>61513</v>
      </c>
      <c r="I305" t="str">
        <f t="shared" si="13"/>
        <v>View</v>
      </c>
      <c r="J305" t="s">
        <v>127</v>
      </c>
      <c r="K305" t="s">
        <v>129</v>
      </c>
      <c r="L305">
        <v>61513</v>
      </c>
      <c r="M305">
        <v>7.25</v>
      </c>
      <c r="N305">
        <v>98.43</v>
      </c>
      <c r="P305">
        <v>1</v>
      </c>
      <c r="R305" t="s">
        <v>23</v>
      </c>
      <c r="S305" t="s">
        <v>24</v>
      </c>
      <c r="T305" t="s">
        <v>316</v>
      </c>
    </row>
    <row r="306" spans="1:20" x14ac:dyDescent="0.25">
      <c r="A306">
        <v>5</v>
      </c>
      <c r="B306" t="str">
        <f>HYPERLINK("https://imapinvasives.natureserve.org/imap/services/page/Presence/1198969.html", "View")</f>
        <v>View</v>
      </c>
      <c r="C306">
        <v>1198969</v>
      </c>
      <c r="D306">
        <v>1207025</v>
      </c>
      <c r="E306" t="str">
        <f>HYPERLINK("http://imap3images.s3-website-us-east-1.amazonaws.com/1207025/p/IMG_20211130_104516742_HDR.jpg", "View")</f>
        <v>View</v>
      </c>
      <c r="F306" t="s">
        <v>127</v>
      </c>
      <c r="G306" t="s">
        <v>128</v>
      </c>
      <c r="H306">
        <v>61513</v>
      </c>
      <c r="I306" t="str">
        <f t="shared" si="13"/>
        <v>View</v>
      </c>
      <c r="J306" t="s">
        <v>127</v>
      </c>
      <c r="K306" t="s">
        <v>129</v>
      </c>
      <c r="L306">
        <v>61513</v>
      </c>
      <c r="M306">
        <v>11.31</v>
      </c>
      <c r="N306">
        <v>49.12</v>
      </c>
      <c r="P306">
        <v>1</v>
      </c>
      <c r="R306" t="s">
        <v>23</v>
      </c>
      <c r="S306" t="s">
        <v>24</v>
      </c>
      <c r="T306" t="s">
        <v>316</v>
      </c>
    </row>
    <row r="307" spans="1:20" x14ac:dyDescent="0.25">
      <c r="A307">
        <v>6</v>
      </c>
      <c r="B307" t="str">
        <f>HYPERLINK("https://imapinvasives.natureserve.org/imap/services/page/Presence/1284963.html", "View")</f>
        <v>View</v>
      </c>
      <c r="C307">
        <v>1284963</v>
      </c>
      <c r="D307">
        <v>1294543</v>
      </c>
      <c r="E307" t="str">
        <f>HYPERLINK("http://imap3images.s3-website-us-east-1.amazonaws.com/1294543/p/imap_app_photo_1659551257501.jpg", "View")</f>
        <v>View</v>
      </c>
      <c r="F307" t="s">
        <v>127</v>
      </c>
      <c r="G307" t="s">
        <v>128</v>
      </c>
      <c r="H307">
        <v>61513</v>
      </c>
      <c r="I307" t="str">
        <f t="shared" si="13"/>
        <v>View</v>
      </c>
      <c r="J307" t="s">
        <v>127</v>
      </c>
      <c r="K307" t="s">
        <v>129</v>
      </c>
      <c r="L307">
        <v>61513</v>
      </c>
      <c r="M307">
        <v>14.36</v>
      </c>
      <c r="N307">
        <v>88.23</v>
      </c>
      <c r="P307">
        <v>1</v>
      </c>
      <c r="R307" t="s">
        <v>23</v>
      </c>
      <c r="S307" t="s">
        <v>24</v>
      </c>
      <c r="T307" t="s">
        <v>316</v>
      </c>
    </row>
    <row r="308" spans="1:20" x14ac:dyDescent="0.25">
      <c r="A308">
        <v>7</v>
      </c>
      <c r="B308" t="str">
        <f>HYPERLINK("https://imapinvasives.natureserve.org/imap/services/page/Presence/1366523.html", "View")</f>
        <v>View</v>
      </c>
      <c r="C308">
        <v>1366523</v>
      </c>
      <c r="D308">
        <v>1384563</v>
      </c>
      <c r="E308" t="str">
        <f>HYPERLINK("http://imap3images.s3-website-us-east-1.amazonaws.com/1384563/p/HWA122223AdminConservationTrail31TD.jpeg", "View")</f>
        <v>View</v>
      </c>
      <c r="F308" t="s">
        <v>127</v>
      </c>
      <c r="G308" t="s">
        <v>128</v>
      </c>
      <c r="H308">
        <v>61513</v>
      </c>
      <c r="I308" t="str">
        <f>HYPERLINK("https://www.inaturalist.org/taxa/48734-Tsuga-canadensis", "View")</f>
        <v>View</v>
      </c>
      <c r="J308" t="s">
        <v>130</v>
      </c>
      <c r="K308" t="s">
        <v>131</v>
      </c>
      <c r="L308">
        <v>48734</v>
      </c>
      <c r="M308">
        <v>33.380000000000003</v>
      </c>
      <c r="N308">
        <v>76.42</v>
      </c>
      <c r="P308">
        <v>0</v>
      </c>
      <c r="R308" t="s">
        <v>29</v>
      </c>
      <c r="S308" t="s">
        <v>24</v>
      </c>
      <c r="T308" t="s">
        <v>316</v>
      </c>
    </row>
    <row r="309" spans="1:20" x14ac:dyDescent="0.25">
      <c r="A309">
        <v>8</v>
      </c>
      <c r="B309" t="str">
        <f>HYPERLINK("https://imapinvasives.natureserve.org/imap/services/page/Presence/1366502.html", "View")</f>
        <v>View</v>
      </c>
      <c r="C309">
        <v>1366502</v>
      </c>
      <c r="D309">
        <v>1384542</v>
      </c>
      <c r="E309" t="str">
        <f>HYPERLINK("http://imap3images.s3-website-us-east-1.amazonaws.com/1384542/p/HWA122123AndersonBridalRt17AM.jpg", "View")</f>
        <v>View</v>
      </c>
      <c r="F309" t="s">
        <v>127</v>
      </c>
      <c r="G309" t="s">
        <v>128</v>
      </c>
      <c r="H309">
        <v>61513</v>
      </c>
      <c r="I309" t="str">
        <f>HYPERLINK("https://www.inaturalist.org/taxa/61513-Adelges-tsugae", "View")</f>
        <v>View</v>
      </c>
      <c r="J309" t="s">
        <v>127</v>
      </c>
      <c r="K309" t="s">
        <v>129</v>
      </c>
      <c r="L309">
        <v>61513</v>
      </c>
      <c r="M309">
        <v>7.73</v>
      </c>
      <c r="N309">
        <v>47.77</v>
      </c>
      <c r="P309">
        <v>1</v>
      </c>
      <c r="R309" t="s">
        <v>23</v>
      </c>
      <c r="S309" t="s">
        <v>24</v>
      </c>
      <c r="T309" t="s">
        <v>316</v>
      </c>
    </row>
    <row r="310" spans="1:20" x14ac:dyDescent="0.25">
      <c r="A310">
        <v>9</v>
      </c>
      <c r="B310" t="str">
        <f>HYPERLINK("https://imapinvasives.natureserve.org/imap/services/page/Presence/1251177.html", "View")</f>
        <v>View</v>
      </c>
      <c r="C310">
        <v>1251177</v>
      </c>
      <c r="D310">
        <v>1259490</v>
      </c>
      <c r="E310" t="str">
        <f>HYPERLINK("http://imap3images.s3-website-us-east-1.amazonaws.com/1259490/p/imap_app_photo_1644444111541.jpg", "View")</f>
        <v>View</v>
      </c>
      <c r="F310" t="s">
        <v>127</v>
      </c>
      <c r="G310" t="s">
        <v>128</v>
      </c>
      <c r="H310">
        <v>61513</v>
      </c>
      <c r="I310" t="str">
        <f>HYPERLINK("https://www.inaturalist.org/taxa/447063-Fiorinia-externa", "View")</f>
        <v>View</v>
      </c>
      <c r="J310" t="s">
        <v>132</v>
      </c>
      <c r="K310" t="s">
        <v>133</v>
      </c>
      <c r="L310">
        <v>447063</v>
      </c>
      <c r="M310">
        <v>1.72</v>
      </c>
      <c r="N310">
        <v>51.53</v>
      </c>
      <c r="P310">
        <v>0</v>
      </c>
      <c r="R310" t="s">
        <v>29</v>
      </c>
      <c r="S310" t="s">
        <v>24</v>
      </c>
      <c r="T310" t="s">
        <v>316</v>
      </c>
    </row>
    <row r="311" spans="1:20" x14ac:dyDescent="0.25">
      <c r="A311">
        <v>10</v>
      </c>
      <c r="B311" t="str">
        <f>HYPERLINK("https://imapinvasives.natureserve.org/imap/services/page/Presence/1320868.html", "View")</f>
        <v>View</v>
      </c>
      <c r="C311">
        <v>1320868</v>
      </c>
      <c r="D311">
        <v>1332783</v>
      </c>
      <c r="E311" t="str">
        <f>HYPERLINK("http://imap3images.s3-website-us-east-1.amazonaws.com/1332783/p/imap_app_photo_1675545722137.jpg", "View")</f>
        <v>View</v>
      </c>
      <c r="F311" t="s">
        <v>127</v>
      </c>
      <c r="G311" t="s">
        <v>128</v>
      </c>
      <c r="H311">
        <v>61513</v>
      </c>
      <c r="I311" t="str">
        <f>HYPERLINK("https://www.inaturalist.org/taxa/48734-Tsuga-canadensis", "View")</f>
        <v>View</v>
      </c>
      <c r="J311" t="s">
        <v>130</v>
      </c>
      <c r="K311" t="s">
        <v>131</v>
      </c>
      <c r="L311">
        <v>48734</v>
      </c>
      <c r="M311">
        <v>34.76</v>
      </c>
      <c r="N311">
        <v>52.73</v>
      </c>
      <c r="P311">
        <v>0</v>
      </c>
      <c r="R311" t="s">
        <v>29</v>
      </c>
      <c r="S311" t="s">
        <v>24</v>
      </c>
      <c r="T311" t="s">
        <v>316</v>
      </c>
    </row>
    <row r="312" spans="1:20" x14ac:dyDescent="0.25">
      <c r="A312">
        <v>11</v>
      </c>
      <c r="B312" t="str">
        <f>HYPERLINK("https://imapinvasives.natureserve.org/imap/services/page/Presence/1439746.html", "View")</f>
        <v>View</v>
      </c>
      <c r="C312">
        <v>1439746</v>
      </c>
      <c r="D312">
        <v>1454180</v>
      </c>
      <c r="E312" t="str">
        <f>HYPERLINK("http://imap3images.s3-website-us-east-1.amazonaws.com/1454180/p/IMG_1071.jpg", "View")</f>
        <v>View</v>
      </c>
      <c r="F312" t="s">
        <v>127</v>
      </c>
      <c r="G312" t="s">
        <v>128</v>
      </c>
      <c r="H312">
        <v>61513</v>
      </c>
      <c r="I312" t="str">
        <f>HYPERLINK("https://www.inaturalist.org/taxa/447063-Fiorinia-externa", "View")</f>
        <v>View</v>
      </c>
      <c r="J312" t="s">
        <v>132</v>
      </c>
      <c r="K312" t="s">
        <v>133</v>
      </c>
      <c r="L312">
        <v>447063</v>
      </c>
      <c r="M312">
        <v>1.41</v>
      </c>
      <c r="N312">
        <v>96.5</v>
      </c>
      <c r="P312">
        <v>0</v>
      </c>
      <c r="R312" t="s">
        <v>29</v>
      </c>
      <c r="S312" t="s">
        <v>33</v>
      </c>
      <c r="T312" t="s">
        <v>317</v>
      </c>
    </row>
    <row r="313" spans="1:20" x14ac:dyDescent="0.25">
      <c r="A313">
        <v>12</v>
      </c>
      <c r="B313" t="str">
        <f>HYPERLINK("https://imapinvasives.natureserve.org/imap/services/page/Presence/1273400.html", "View")</f>
        <v>View</v>
      </c>
      <c r="C313">
        <v>1273400</v>
      </c>
      <c r="D313">
        <v>1282536</v>
      </c>
      <c r="E313" t="str">
        <f>HYPERLINK("http://imap3images.s3-website-us-east-1.amazonaws.com/1282536/p/thumbnail_IMG_8796.jpg", "View")</f>
        <v>View</v>
      </c>
      <c r="F313" t="s">
        <v>127</v>
      </c>
      <c r="G313" t="s">
        <v>128</v>
      </c>
      <c r="H313">
        <v>61513</v>
      </c>
      <c r="I313" t="str">
        <f>HYPERLINK("https://www.inaturalist.org/taxa/48734-Tsuga-canadensis", "View")</f>
        <v>View</v>
      </c>
      <c r="J313" t="s">
        <v>130</v>
      </c>
      <c r="K313" t="s">
        <v>131</v>
      </c>
      <c r="L313">
        <v>48734</v>
      </c>
      <c r="M313">
        <v>35.71</v>
      </c>
      <c r="N313">
        <v>59.94</v>
      </c>
      <c r="P313">
        <v>0</v>
      </c>
      <c r="R313" t="s">
        <v>29</v>
      </c>
      <c r="S313" t="s">
        <v>24</v>
      </c>
      <c r="T313" t="s">
        <v>316</v>
      </c>
    </row>
    <row r="314" spans="1:20" x14ac:dyDescent="0.25">
      <c r="A314">
        <v>13</v>
      </c>
      <c r="B314" t="str">
        <f>HYPERLINK("https://imapinvasives.natureserve.org/imap/services/page/Presence/515983.html", "View")</f>
        <v>View</v>
      </c>
      <c r="C314">
        <v>515983</v>
      </c>
      <c r="D314">
        <v>515983</v>
      </c>
      <c r="E314" t="str">
        <f>HYPERLINK("http://imap3images.s3-website-us-east-1.amazonaws.com/515983/p/photourl1_2017_10_15_lindombroskie_jmoy9np5.jpg", "View")</f>
        <v>View</v>
      </c>
      <c r="F314" t="s">
        <v>127</v>
      </c>
      <c r="G314" t="s">
        <v>128</v>
      </c>
      <c r="H314">
        <v>61513</v>
      </c>
      <c r="I314" t="str">
        <f>HYPERLINK("https://www.inaturalist.org/taxa/61513-Adelges-tsugae", "View")</f>
        <v>View</v>
      </c>
      <c r="J314" t="s">
        <v>127</v>
      </c>
      <c r="K314" t="s">
        <v>129</v>
      </c>
      <c r="L314">
        <v>61513</v>
      </c>
      <c r="M314">
        <v>12.4</v>
      </c>
      <c r="N314">
        <v>98.96</v>
      </c>
      <c r="P314">
        <v>1</v>
      </c>
      <c r="R314" t="s">
        <v>23</v>
      </c>
      <c r="S314" t="s">
        <v>24</v>
      </c>
      <c r="T314" t="s">
        <v>316</v>
      </c>
    </row>
    <row r="315" spans="1:20" x14ac:dyDescent="0.25">
      <c r="A315">
        <v>14</v>
      </c>
      <c r="B315" t="str">
        <f>HYPERLINK("https://imapinvasives.natureserve.org/imap/services/page/Presence/524742.html", "View")</f>
        <v>View</v>
      </c>
      <c r="C315">
        <v>524742</v>
      </c>
      <c r="D315">
        <v>524742</v>
      </c>
      <c r="E315" t="str">
        <f>HYPERLINK("http://imap3images.s3-website-us-east-1.amazonaws.com/524742/p/photourl1_2018_03_08_hanbush_mwyc7i5s.jpg", "View")</f>
        <v>View</v>
      </c>
      <c r="F315" t="s">
        <v>127</v>
      </c>
      <c r="G315" t="s">
        <v>128</v>
      </c>
      <c r="H315">
        <v>61513</v>
      </c>
      <c r="I315" t="str">
        <f>HYPERLINK("https://www.inaturalist.org/taxa/61513-Adelges-tsugae", "View")</f>
        <v>View</v>
      </c>
      <c r="J315" t="s">
        <v>127</v>
      </c>
      <c r="K315" t="s">
        <v>129</v>
      </c>
      <c r="L315">
        <v>61513</v>
      </c>
      <c r="M315">
        <v>12.4</v>
      </c>
      <c r="N315">
        <v>48.89</v>
      </c>
      <c r="P315">
        <v>1</v>
      </c>
      <c r="R315" t="s">
        <v>23</v>
      </c>
      <c r="S315" t="s">
        <v>33</v>
      </c>
      <c r="T315" t="s">
        <v>317</v>
      </c>
    </row>
    <row r="316" spans="1:20" x14ac:dyDescent="0.25">
      <c r="A316">
        <v>15</v>
      </c>
      <c r="B316" t="str">
        <f>HYPERLINK("https://imapinvasives.natureserve.org/imap/services/page/Presence/1249236.html", "View")</f>
        <v>View</v>
      </c>
      <c r="C316">
        <v>1249236</v>
      </c>
      <c r="D316">
        <v>1257391</v>
      </c>
      <c r="E316" t="str">
        <f>HYPERLINK("http://imap3images.s3-website-us-east-1.amazonaws.com/1257391/p/Photo2-20220105-192333.jpg", "View")</f>
        <v>View</v>
      </c>
      <c r="F316" t="s">
        <v>127</v>
      </c>
      <c r="G316" t="s">
        <v>128</v>
      </c>
      <c r="H316">
        <v>61513</v>
      </c>
      <c r="I316" t="str">
        <f>HYPERLINK("https://www.inaturalist.org/taxa/48734-Tsuga-canadensis", "View")</f>
        <v>View</v>
      </c>
      <c r="J316" t="s">
        <v>130</v>
      </c>
      <c r="K316" t="s">
        <v>131</v>
      </c>
      <c r="L316">
        <v>48734</v>
      </c>
      <c r="M316">
        <v>37.76</v>
      </c>
      <c r="N316">
        <v>98.76</v>
      </c>
      <c r="P316">
        <v>0</v>
      </c>
      <c r="R316" t="s">
        <v>29</v>
      </c>
      <c r="S316" t="s">
        <v>34</v>
      </c>
      <c r="T316" t="s">
        <v>317</v>
      </c>
    </row>
    <row r="317" spans="1:20" x14ac:dyDescent="0.25">
      <c r="A317">
        <v>16</v>
      </c>
      <c r="B317" t="str">
        <f>HYPERLINK("https://imapinvasives.natureserve.org/imap/services/page/Presence/1253767.html", "View")</f>
        <v>View</v>
      </c>
      <c r="C317">
        <v>1253767</v>
      </c>
      <c r="D317">
        <v>1262326</v>
      </c>
      <c r="E317" t="str">
        <f>HYPERLINK("http://imap3images.s3-website-us-east-1.amazonaws.com/1262326/p/imap_app_photo_1645307471789.jpg", "View")</f>
        <v>View</v>
      </c>
      <c r="F317" t="s">
        <v>127</v>
      </c>
      <c r="G317" t="s">
        <v>128</v>
      </c>
      <c r="H317">
        <v>61513</v>
      </c>
      <c r="I317" t="str">
        <f>HYPERLINK("https://www.inaturalist.org/taxa/61513-Adelges-tsugae", "View")</f>
        <v>View</v>
      </c>
      <c r="J317" t="s">
        <v>127</v>
      </c>
      <c r="K317" t="s">
        <v>129</v>
      </c>
      <c r="L317">
        <v>61513</v>
      </c>
      <c r="M317">
        <v>11.31</v>
      </c>
      <c r="N317">
        <v>68.95</v>
      </c>
      <c r="P317">
        <v>1</v>
      </c>
      <c r="R317" t="s">
        <v>23</v>
      </c>
      <c r="S317" t="s">
        <v>24</v>
      </c>
      <c r="T317" t="s">
        <v>316</v>
      </c>
    </row>
    <row r="318" spans="1:20" x14ac:dyDescent="0.25">
      <c r="A318">
        <v>17</v>
      </c>
      <c r="B318" t="str">
        <f>HYPERLINK("https://imapinvasives.natureserve.org/imap/services/page/Presence/527238.html", "View")</f>
        <v>View</v>
      </c>
      <c r="C318">
        <v>527238</v>
      </c>
      <c r="D318">
        <v>527238</v>
      </c>
      <c r="E318" t="str">
        <f>HYPERLINK("http://imap3images.s3-website-us-east-1.amazonaws.com/527238/p/photourl1_2018_06_15_elijamison_au6k5cm1.jpg", "View")</f>
        <v>View</v>
      </c>
      <c r="F318" t="s">
        <v>127</v>
      </c>
      <c r="G318" t="s">
        <v>128</v>
      </c>
      <c r="H318">
        <v>61513</v>
      </c>
      <c r="I318" t="str">
        <f>HYPERLINK("https://www.inaturalist.org/taxa/48734-Tsuga-canadensis", "View")</f>
        <v>View</v>
      </c>
      <c r="J318" t="s">
        <v>130</v>
      </c>
      <c r="K318" t="s">
        <v>131</v>
      </c>
      <c r="L318">
        <v>48734</v>
      </c>
      <c r="M318">
        <v>73.010000000000005</v>
      </c>
      <c r="N318">
        <v>35.54</v>
      </c>
      <c r="P318">
        <v>0</v>
      </c>
      <c r="R318" t="s">
        <v>29</v>
      </c>
      <c r="S318" t="s">
        <v>24</v>
      </c>
      <c r="T318" t="s">
        <v>316</v>
      </c>
    </row>
    <row r="319" spans="1:20" x14ac:dyDescent="0.25">
      <c r="A319">
        <v>18</v>
      </c>
      <c r="B319" t="str">
        <f>HYPERLINK("https://imapinvasives.natureserve.org/imap/services/page/Presence/1363028.html", "View")</f>
        <v>View</v>
      </c>
      <c r="C319">
        <v>1363028</v>
      </c>
      <c r="D319">
        <v>1380798</v>
      </c>
      <c r="E319" t="str">
        <f>HYPERLINK("http://imap3images.s3-website-us-east-1.amazonaws.com/1380798/p/imap_app_photo_1699450091952.jpg", "View")</f>
        <v>View</v>
      </c>
      <c r="F319" t="s">
        <v>127</v>
      </c>
      <c r="G319" t="s">
        <v>128</v>
      </c>
      <c r="H319">
        <v>61513</v>
      </c>
      <c r="I319" t="str">
        <f>HYPERLINK("https://www.inaturalist.org/taxa/61513-Adelges-tsugae", "View")</f>
        <v>View</v>
      </c>
      <c r="J319" t="s">
        <v>127</v>
      </c>
      <c r="K319" t="s">
        <v>129</v>
      </c>
      <c r="L319">
        <v>61513</v>
      </c>
      <c r="M319">
        <v>39.26</v>
      </c>
      <c r="N319">
        <v>89.52</v>
      </c>
      <c r="P319">
        <v>1</v>
      </c>
      <c r="R319" t="s">
        <v>23</v>
      </c>
      <c r="S319" t="s">
        <v>24</v>
      </c>
      <c r="T319" t="s">
        <v>316</v>
      </c>
    </row>
    <row r="320" spans="1:20" x14ac:dyDescent="0.25">
      <c r="A320">
        <v>19</v>
      </c>
      <c r="B320" t="str">
        <f>HYPERLINK("https://imapinvasives.natureserve.org/imap/services/page/Presence/1438341.html", "View")</f>
        <v>View</v>
      </c>
      <c r="C320">
        <v>1438341</v>
      </c>
      <c r="D320">
        <v>1452587</v>
      </c>
      <c r="E320" t="str">
        <f>HYPERLINK("http://imap3images.s3-website-us-east-1.amazonaws.com/1452587/p/imap_app_photo_1722423899069.jpg", "View")</f>
        <v>View</v>
      </c>
      <c r="F320" t="s">
        <v>127</v>
      </c>
      <c r="G320" t="s">
        <v>128</v>
      </c>
      <c r="H320">
        <v>61513</v>
      </c>
      <c r="I320" t="str">
        <f>HYPERLINK("https://www.inaturalist.org/taxa/61513-Adelges-tsugae", "View")</f>
        <v>View</v>
      </c>
      <c r="J320" t="s">
        <v>127</v>
      </c>
      <c r="K320" t="s">
        <v>129</v>
      </c>
      <c r="L320">
        <v>61513</v>
      </c>
      <c r="M320">
        <v>10.72</v>
      </c>
      <c r="N320">
        <v>70.790000000000006</v>
      </c>
      <c r="P320">
        <v>1</v>
      </c>
      <c r="R320" t="s">
        <v>29</v>
      </c>
      <c r="S320" t="s">
        <v>24</v>
      </c>
      <c r="T320" t="s">
        <v>316</v>
      </c>
    </row>
    <row r="321" spans="1:20" x14ac:dyDescent="0.25">
      <c r="A321">
        <v>20</v>
      </c>
      <c r="B321" t="str">
        <f>HYPERLINK("https://imapinvasives.natureserve.org/imap/services/page/Presence/1039595.html", "View")</f>
        <v>View</v>
      </c>
      <c r="C321">
        <v>1039595</v>
      </c>
      <c r="D321">
        <v>1043374</v>
      </c>
      <c r="E321" t="str">
        <f>HYPERLINK("http://imap3images.s3-website-us-east-1.amazonaws.com/1043374/p/imap_app_photo_1578967423571.jpg", "View")</f>
        <v>View</v>
      </c>
      <c r="F321" t="s">
        <v>127</v>
      </c>
      <c r="G321" t="s">
        <v>128</v>
      </c>
      <c r="H321">
        <v>61513</v>
      </c>
      <c r="I321" t="str">
        <f>HYPERLINK("https://www.inaturalist.org/taxa/61513-Adelges-tsugae", "View")</f>
        <v>View</v>
      </c>
      <c r="J321" t="s">
        <v>127</v>
      </c>
      <c r="K321" t="s">
        <v>129</v>
      </c>
      <c r="L321">
        <v>61513</v>
      </c>
      <c r="M321">
        <v>10.050000000000001</v>
      </c>
      <c r="N321">
        <v>92.5</v>
      </c>
      <c r="P321">
        <v>1</v>
      </c>
      <c r="R321" t="s">
        <v>23</v>
      </c>
      <c r="S321" t="s">
        <v>24</v>
      </c>
      <c r="T321" t="s">
        <v>316</v>
      </c>
    </row>
    <row r="322" spans="1:20" x14ac:dyDescent="0.25">
      <c r="A322">
        <v>21</v>
      </c>
      <c r="B322" t="str">
        <f>HYPERLINK("https://imapinvasives.natureserve.org/imap/services/page/Presence/1113272.html", "View")</f>
        <v>View</v>
      </c>
      <c r="C322">
        <v>1113272</v>
      </c>
      <c r="D322">
        <v>1119235</v>
      </c>
      <c r="E322" t="str">
        <f>HYPERLINK("http://imap3images.s3-website-us-east-1.amazonaws.com/1119235/p/imap_app_photo_1609284896508.jpg", "View")</f>
        <v>View</v>
      </c>
      <c r="F322" t="s">
        <v>127</v>
      </c>
      <c r="G322" t="s">
        <v>128</v>
      </c>
      <c r="H322">
        <v>61513</v>
      </c>
      <c r="I322" t="str">
        <f>HYPERLINK("https://www.inaturalist.org/taxa/48734-Tsuga-canadensis", "View")</f>
        <v>View</v>
      </c>
      <c r="J322" t="s">
        <v>130</v>
      </c>
      <c r="K322" t="s">
        <v>131</v>
      </c>
      <c r="L322">
        <v>48734</v>
      </c>
      <c r="M322">
        <v>42.14</v>
      </c>
      <c r="N322">
        <v>52.53</v>
      </c>
      <c r="P322">
        <v>0</v>
      </c>
      <c r="R322" t="s">
        <v>29</v>
      </c>
      <c r="S322" t="s">
        <v>24</v>
      </c>
      <c r="T322" t="s">
        <v>316</v>
      </c>
    </row>
    <row r="323" spans="1:20" x14ac:dyDescent="0.25">
      <c r="A323">
        <v>22</v>
      </c>
      <c r="B323" t="str">
        <f>HYPERLINK("https://imapinvasives.natureserve.org/imap/services/page/Presence/512079.html", "View")</f>
        <v>View</v>
      </c>
      <c r="C323">
        <v>512079</v>
      </c>
      <c r="D323">
        <v>512079</v>
      </c>
      <c r="E323" t="str">
        <f>HYPERLINK("http://imap3images.s3-website-us-east-1.amazonaws.com/512079/p/photourl1_2019_06_16_marlefebvre_6ik82wap.jpg", "View")</f>
        <v>View</v>
      </c>
      <c r="F323" t="s">
        <v>127</v>
      </c>
      <c r="G323" t="s">
        <v>128</v>
      </c>
      <c r="H323">
        <v>61513</v>
      </c>
      <c r="I323" t="str">
        <f t="shared" ref="I323:I328" si="14">HYPERLINK("https://www.inaturalist.org/taxa/61513-Adelges-tsugae", "View")</f>
        <v>View</v>
      </c>
      <c r="J323" t="s">
        <v>127</v>
      </c>
      <c r="K323" t="s">
        <v>129</v>
      </c>
      <c r="L323">
        <v>61513</v>
      </c>
      <c r="M323">
        <v>7.57</v>
      </c>
      <c r="N323">
        <v>85.92</v>
      </c>
      <c r="P323">
        <v>1</v>
      </c>
      <c r="R323" t="s">
        <v>29</v>
      </c>
      <c r="S323" t="s">
        <v>24</v>
      </c>
      <c r="T323" t="s">
        <v>316</v>
      </c>
    </row>
    <row r="324" spans="1:20" x14ac:dyDescent="0.25">
      <c r="A324">
        <v>23</v>
      </c>
      <c r="B324" t="str">
        <f>HYPERLINK("https://imapinvasives.natureserve.org/imap/services/page/Presence/525163.html", "View")</f>
        <v>View</v>
      </c>
      <c r="C324">
        <v>525163</v>
      </c>
      <c r="D324">
        <v>525163</v>
      </c>
      <c r="E324" t="str">
        <f>HYPERLINK("http://imap3images.s3-website-us-east-1.amazonaws.com/525163/p/photourl1_2018_04_12_thocummings_zi174rnm.jpg", "View")</f>
        <v>View</v>
      </c>
      <c r="F324" t="s">
        <v>127</v>
      </c>
      <c r="G324" t="s">
        <v>128</v>
      </c>
      <c r="H324">
        <v>61513</v>
      </c>
      <c r="I324" t="str">
        <f t="shared" si="14"/>
        <v>View</v>
      </c>
      <c r="J324" t="s">
        <v>127</v>
      </c>
      <c r="K324" t="s">
        <v>129</v>
      </c>
      <c r="L324">
        <v>61513</v>
      </c>
      <c r="M324">
        <v>39.69</v>
      </c>
      <c r="N324">
        <v>96.45</v>
      </c>
      <c r="P324">
        <v>1</v>
      </c>
      <c r="R324" t="s">
        <v>23</v>
      </c>
      <c r="S324" t="s">
        <v>24</v>
      </c>
      <c r="T324" t="s">
        <v>316</v>
      </c>
    </row>
    <row r="325" spans="1:20" x14ac:dyDescent="0.25">
      <c r="A325">
        <v>24</v>
      </c>
      <c r="B325" t="str">
        <f>HYPERLINK("https://imapinvasives.natureserve.org/imap/services/page/Presence/1041557.html", "View")</f>
        <v>View</v>
      </c>
      <c r="C325">
        <v>1041557</v>
      </c>
      <c r="D325">
        <v>1045392</v>
      </c>
      <c r="E325" t="str">
        <f>HYPERLINK("http://imap3images.s3-website-us-east-1.amazonaws.com/1045392/p/HWA_Photo.jpg", "View")</f>
        <v>View</v>
      </c>
      <c r="F325" t="s">
        <v>127</v>
      </c>
      <c r="G325" t="s">
        <v>128</v>
      </c>
      <c r="H325">
        <v>61513</v>
      </c>
      <c r="I325" t="str">
        <f t="shared" si="14"/>
        <v>View</v>
      </c>
      <c r="J325" t="s">
        <v>127</v>
      </c>
      <c r="K325" t="s">
        <v>129</v>
      </c>
      <c r="L325">
        <v>61513</v>
      </c>
      <c r="M325">
        <v>26.88</v>
      </c>
      <c r="N325">
        <v>98</v>
      </c>
      <c r="P325">
        <v>1</v>
      </c>
      <c r="R325" t="s">
        <v>23</v>
      </c>
      <c r="S325" t="s">
        <v>24</v>
      </c>
      <c r="T325" t="s">
        <v>316</v>
      </c>
    </row>
    <row r="326" spans="1:20" x14ac:dyDescent="0.25">
      <c r="A326">
        <v>25</v>
      </c>
      <c r="B326" t="str">
        <f>HYPERLINK("https://imapinvasives.natureserve.org/imap/services/page/Presence/1351190.html", "View")</f>
        <v>View</v>
      </c>
      <c r="C326">
        <v>1351190</v>
      </c>
      <c r="D326">
        <v>1368473</v>
      </c>
      <c r="E326" t="str">
        <f>HYPERLINK("http://imap3images.s3-website-us-east-1.amazonaws.com/1368473/p/Photo1-20230518-144931.jpg", "View")</f>
        <v>View</v>
      </c>
      <c r="F326" t="s">
        <v>127</v>
      </c>
      <c r="G326" t="s">
        <v>128</v>
      </c>
      <c r="H326">
        <v>61513</v>
      </c>
      <c r="I326" t="str">
        <f t="shared" si="14"/>
        <v>View</v>
      </c>
      <c r="J326" t="s">
        <v>127</v>
      </c>
      <c r="K326" t="s">
        <v>129</v>
      </c>
      <c r="L326">
        <v>61513</v>
      </c>
      <c r="M326">
        <v>10.45</v>
      </c>
      <c r="N326">
        <v>93.86</v>
      </c>
      <c r="P326">
        <v>1</v>
      </c>
      <c r="R326" t="s">
        <v>23</v>
      </c>
      <c r="S326" t="s">
        <v>24</v>
      </c>
      <c r="T326" t="s">
        <v>316</v>
      </c>
    </row>
    <row r="327" spans="1:20" x14ac:dyDescent="0.25">
      <c r="A327">
        <v>26</v>
      </c>
      <c r="B327" t="str">
        <f>HYPERLINK("https://imapinvasives.natureserve.org/imap/services/page/Presence/1375903.html", "View")</f>
        <v>View</v>
      </c>
      <c r="C327">
        <v>1375903</v>
      </c>
      <c r="D327">
        <v>1394002</v>
      </c>
      <c r="E327" t="str">
        <f>HYPERLINK("http://imap3images.s3-website-us-east-1.amazonaws.com/1394002/p/imap_app_photo_1707677661354.jpg", "View")</f>
        <v>View</v>
      </c>
      <c r="F327" t="s">
        <v>127</v>
      </c>
      <c r="G327" t="s">
        <v>128</v>
      </c>
      <c r="H327">
        <v>61513</v>
      </c>
      <c r="I327" t="str">
        <f t="shared" si="14"/>
        <v>View</v>
      </c>
      <c r="J327" t="s">
        <v>127</v>
      </c>
      <c r="K327" t="s">
        <v>129</v>
      </c>
      <c r="L327">
        <v>61513</v>
      </c>
      <c r="M327">
        <v>6.5</v>
      </c>
      <c r="N327">
        <v>46.8</v>
      </c>
      <c r="P327">
        <v>1</v>
      </c>
      <c r="R327" t="s">
        <v>23</v>
      </c>
      <c r="S327" t="s">
        <v>24</v>
      </c>
      <c r="T327" t="s">
        <v>316</v>
      </c>
    </row>
    <row r="328" spans="1:20" x14ac:dyDescent="0.25">
      <c r="A328">
        <v>27</v>
      </c>
      <c r="B328" t="str">
        <f>HYPERLINK("https://imapinvasives.natureserve.org/imap/services/page/Presence/1335692.html", "View")</f>
        <v>View</v>
      </c>
      <c r="C328">
        <v>1335692</v>
      </c>
      <c r="D328">
        <v>1350026</v>
      </c>
      <c r="E328" t="str">
        <f>HYPERLINK("http://imap3images.s3-website-us-east-1.amazonaws.com/1350026/p/imap_app_photo_1687183525784.jpg", "View")</f>
        <v>View</v>
      </c>
      <c r="F328" t="s">
        <v>127</v>
      </c>
      <c r="G328" t="s">
        <v>128</v>
      </c>
      <c r="H328">
        <v>61513</v>
      </c>
      <c r="I328" t="str">
        <f t="shared" si="14"/>
        <v>View</v>
      </c>
      <c r="J328" t="s">
        <v>127</v>
      </c>
      <c r="K328" t="s">
        <v>129</v>
      </c>
      <c r="L328">
        <v>61513</v>
      </c>
      <c r="M328">
        <v>4.5599999999999996</v>
      </c>
      <c r="N328">
        <v>76.02</v>
      </c>
      <c r="P328">
        <v>1</v>
      </c>
      <c r="R328" t="s">
        <v>23</v>
      </c>
      <c r="S328" t="s">
        <v>24</v>
      </c>
      <c r="T328" t="s">
        <v>316</v>
      </c>
    </row>
    <row r="329" spans="1:20" x14ac:dyDescent="0.25">
      <c r="A329">
        <v>28</v>
      </c>
      <c r="B329" t="str">
        <f>HYPERLINK("https://imapinvasives.natureserve.org/imap/services/page/Presence/1339342.html", "View")</f>
        <v>View</v>
      </c>
      <c r="C329">
        <v>1339342</v>
      </c>
      <c r="D329">
        <v>1354216</v>
      </c>
      <c r="E329" t="str">
        <f>HYPERLINK("http://imap3images.s3-website-us-east-1.amazonaws.com/1354216/p/imap_app_photo_1688756343236.jpg", "View")</f>
        <v>View</v>
      </c>
      <c r="F329" t="s">
        <v>127</v>
      </c>
      <c r="G329" t="s">
        <v>128</v>
      </c>
      <c r="H329">
        <v>61513</v>
      </c>
      <c r="I329" t="str">
        <f>HYPERLINK("https://www.inaturalist.org/taxa/48734-Tsuga-canadensis", "View")</f>
        <v>View</v>
      </c>
      <c r="J329" t="s">
        <v>130</v>
      </c>
      <c r="K329" t="s">
        <v>131</v>
      </c>
      <c r="L329">
        <v>48734</v>
      </c>
      <c r="M329">
        <v>33.6</v>
      </c>
      <c r="N329">
        <v>48.27</v>
      </c>
      <c r="P329">
        <v>0</v>
      </c>
      <c r="R329" t="s">
        <v>29</v>
      </c>
      <c r="S329" t="s">
        <v>24</v>
      </c>
      <c r="T329" t="s">
        <v>316</v>
      </c>
    </row>
    <row r="330" spans="1:20" x14ac:dyDescent="0.25">
      <c r="A330">
        <v>29</v>
      </c>
      <c r="B330" t="str">
        <f>HYPERLINK("https://imapinvasives.natureserve.org/imap/services/page/Presence/1375172.html", "View")</f>
        <v>View</v>
      </c>
      <c r="C330">
        <v>1375172</v>
      </c>
      <c r="D330">
        <v>1393244</v>
      </c>
      <c r="E330" t="str">
        <f>HYPERLINK("http://imap3images.s3-website-us-east-1.amazonaws.com/1393244/p/imap_app_photo_1707093612459.jpg", "View")</f>
        <v>View</v>
      </c>
      <c r="F330" t="s">
        <v>127</v>
      </c>
      <c r="G330" t="s">
        <v>128</v>
      </c>
      <c r="H330">
        <v>61513</v>
      </c>
      <c r="I330" t="str">
        <f>HYPERLINK("https://www.inaturalist.org/taxa/61513-Adelges-tsugae", "View")</f>
        <v>View</v>
      </c>
      <c r="J330" t="s">
        <v>127</v>
      </c>
      <c r="K330" t="s">
        <v>129</v>
      </c>
      <c r="L330">
        <v>61513</v>
      </c>
      <c r="M330">
        <v>8.58</v>
      </c>
      <c r="N330">
        <v>85.77</v>
      </c>
      <c r="P330">
        <v>1</v>
      </c>
      <c r="R330" t="s">
        <v>23</v>
      </c>
      <c r="S330" t="s">
        <v>24</v>
      </c>
      <c r="T330" t="s">
        <v>316</v>
      </c>
    </row>
    <row r="331" spans="1:20" x14ac:dyDescent="0.25">
      <c r="A331">
        <v>30</v>
      </c>
      <c r="B331" t="str">
        <f>HYPERLINK("https://imapinvasives.natureserve.org/imap/services/page/Presence/1258245.html", "View")</f>
        <v>View</v>
      </c>
      <c r="C331">
        <v>1258245</v>
      </c>
      <c r="D331">
        <v>1266879</v>
      </c>
      <c r="E331" t="str">
        <f>HYPERLINK("http://imap3images.s3-website-us-east-1.amazonaws.com/1266879/p/imap_app_photo_1647044521604.jpg", "View")</f>
        <v>View</v>
      </c>
      <c r="F331" t="s">
        <v>127</v>
      </c>
      <c r="G331" t="s">
        <v>128</v>
      </c>
      <c r="H331">
        <v>61513</v>
      </c>
      <c r="I331" t="str">
        <f>HYPERLINK("https://www.inaturalist.org/taxa/61513-Adelges-tsugae", "View")</f>
        <v>View</v>
      </c>
      <c r="J331" t="s">
        <v>127</v>
      </c>
      <c r="K331" t="s">
        <v>129</v>
      </c>
      <c r="L331">
        <v>61513</v>
      </c>
      <c r="M331">
        <v>26.88</v>
      </c>
      <c r="N331">
        <v>83.01</v>
      </c>
      <c r="P331">
        <v>1</v>
      </c>
      <c r="R331" t="s">
        <v>23</v>
      </c>
      <c r="S331" t="s">
        <v>24</v>
      </c>
      <c r="T331" t="s">
        <v>316</v>
      </c>
    </row>
    <row r="332" spans="1:20" x14ac:dyDescent="0.25">
      <c r="A332">
        <v>31</v>
      </c>
      <c r="B332" t="str">
        <f>HYPERLINK("https://imapinvasives.natureserve.org/imap/services/page/Presence/1247944.html", "View")</f>
        <v>View</v>
      </c>
      <c r="C332">
        <v>1247944</v>
      </c>
      <c r="D332">
        <v>1256054</v>
      </c>
      <c r="E332" t="str">
        <f>HYPERLINK("http://imap3images.s3-website-us-east-1.amazonaws.com/1256054/p/E4A30F17-19E8-4F9F-9D23-311420219B6B.jpeg", "View")</f>
        <v>View</v>
      </c>
      <c r="F332" t="s">
        <v>127</v>
      </c>
      <c r="G332" t="s">
        <v>128</v>
      </c>
      <c r="H332">
        <v>61513</v>
      </c>
      <c r="I332" t="str">
        <f>HYPERLINK("https://www.inaturalist.org/taxa/61513-Adelges-tsugae", "View")</f>
        <v>View</v>
      </c>
      <c r="J332" t="s">
        <v>127</v>
      </c>
      <c r="K332" t="s">
        <v>129</v>
      </c>
      <c r="L332">
        <v>61513</v>
      </c>
      <c r="M332">
        <v>26.88</v>
      </c>
      <c r="N332">
        <v>95.79</v>
      </c>
      <c r="P332">
        <v>1</v>
      </c>
      <c r="R332" t="s">
        <v>23</v>
      </c>
      <c r="S332" t="s">
        <v>24</v>
      </c>
      <c r="T332" t="s">
        <v>316</v>
      </c>
    </row>
    <row r="333" spans="1:20" x14ac:dyDescent="0.25">
      <c r="A333">
        <v>32</v>
      </c>
      <c r="B333" t="str">
        <f>HYPERLINK("https://imapinvasives.natureserve.org/imap/services/page/Presence/1434609.html", "View")</f>
        <v>View</v>
      </c>
      <c r="C333">
        <v>1434609</v>
      </c>
      <c r="D333">
        <v>1448288</v>
      </c>
      <c r="E333" t="str">
        <f>HYPERLINK("http://imap3images.s3-website-us-east-1.amazonaws.com/1448288/p/HWA_brooklyn.jpg", "View")</f>
        <v>View</v>
      </c>
      <c r="F333" t="s">
        <v>127</v>
      </c>
      <c r="G333" t="s">
        <v>128</v>
      </c>
      <c r="H333">
        <v>61513</v>
      </c>
      <c r="I333" t="str">
        <f>HYPERLINK("https://www.inaturalist.org/taxa/47553-Taxus-baccata", "View")</f>
        <v>View</v>
      </c>
      <c r="J333" t="s">
        <v>134</v>
      </c>
      <c r="K333" t="s">
        <v>135</v>
      </c>
      <c r="L333">
        <v>47553</v>
      </c>
      <c r="M333">
        <v>30.05</v>
      </c>
      <c r="N333">
        <v>39.36</v>
      </c>
      <c r="P333">
        <v>0</v>
      </c>
      <c r="R333" t="s">
        <v>40</v>
      </c>
      <c r="S333" t="s">
        <v>33</v>
      </c>
      <c r="T333" t="s">
        <v>317</v>
      </c>
    </row>
    <row r="334" spans="1:20" x14ac:dyDescent="0.25">
      <c r="A334">
        <v>33</v>
      </c>
      <c r="B334" t="str">
        <f>HYPERLINK("https://imapinvasives.natureserve.org/imap/services/page/Presence/1138918.html", "View")</f>
        <v>View</v>
      </c>
      <c r="C334">
        <v>1138918</v>
      </c>
      <c r="D334">
        <v>1145393</v>
      </c>
      <c r="E334" t="str">
        <f>HYPERLINK("http://imap3images.s3-website-us-east-1.amazonaws.com/1145393/p/24405-HWA.jpeg", "View")</f>
        <v>View</v>
      </c>
      <c r="F334" t="s">
        <v>127</v>
      </c>
      <c r="G334" t="s">
        <v>128</v>
      </c>
      <c r="H334">
        <v>61513</v>
      </c>
      <c r="I334" t="str">
        <f>HYPERLINK("https://www.inaturalist.org/taxa/48734-Tsuga-canadensis", "View")</f>
        <v>View</v>
      </c>
      <c r="J334" t="s">
        <v>130</v>
      </c>
      <c r="K334" t="s">
        <v>131</v>
      </c>
      <c r="L334">
        <v>48734</v>
      </c>
      <c r="M334">
        <v>35.630000000000003</v>
      </c>
      <c r="N334">
        <v>79.67</v>
      </c>
      <c r="P334">
        <v>0</v>
      </c>
      <c r="R334" t="s">
        <v>29</v>
      </c>
      <c r="S334" t="s">
        <v>24</v>
      </c>
      <c r="T334" t="s">
        <v>316</v>
      </c>
    </row>
    <row r="335" spans="1:20" x14ac:dyDescent="0.25">
      <c r="A335">
        <v>34</v>
      </c>
      <c r="B335" t="str">
        <f>HYPERLINK("https://imapinvasives.natureserve.org/imap/services/page/Presence/512921.html", "View")</f>
        <v>View</v>
      </c>
      <c r="C335">
        <v>512921</v>
      </c>
      <c r="D335">
        <v>512921</v>
      </c>
      <c r="E335" t="str">
        <f>HYPERLINK("http://imap3images.s3-website-us-east-1.amazonaws.com/512921/p/photourl1_2017_07_13_matlevine_jfuu8y0i.jpg", "View")</f>
        <v>View</v>
      </c>
      <c r="F335" t="s">
        <v>127</v>
      </c>
      <c r="G335" t="s">
        <v>128</v>
      </c>
      <c r="H335">
        <v>61513</v>
      </c>
      <c r="I335" t="str">
        <f t="shared" ref="I335:I342" si="15">HYPERLINK("https://www.inaturalist.org/taxa/61513-Adelges-tsugae", "View")</f>
        <v>View</v>
      </c>
      <c r="J335" t="s">
        <v>127</v>
      </c>
      <c r="K335" t="s">
        <v>129</v>
      </c>
      <c r="L335">
        <v>61513</v>
      </c>
      <c r="M335">
        <v>8.16</v>
      </c>
      <c r="N335">
        <v>98.54</v>
      </c>
      <c r="P335">
        <v>1</v>
      </c>
      <c r="R335" t="s">
        <v>23</v>
      </c>
      <c r="S335" t="s">
        <v>24</v>
      </c>
      <c r="T335" t="s">
        <v>316</v>
      </c>
    </row>
    <row r="336" spans="1:20" x14ac:dyDescent="0.25">
      <c r="A336">
        <v>35</v>
      </c>
      <c r="B336" t="str">
        <f>HYPERLINK("https://imapinvasives.natureserve.org/imap/services/page/Presence/1354249.html", "View")</f>
        <v>View</v>
      </c>
      <c r="C336">
        <v>1354249</v>
      </c>
      <c r="D336">
        <v>1371695</v>
      </c>
      <c r="E336" t="str">
        <f>HYPERLINK("http://imap3images.s3-website-us-east-1.amazonaws.com/1371695/p/imap_app_photo_1695224443180.jpg", "View")</f>
        <v>View</v>
      </c>
      <c r="F336" t="s">
        <v>127</v>
      </c>
      <c r="G336" t="s">
        <v>128</v>
      </c>
      <c r="H336">
        <v>61513</v>
      </c>
      <c r="I336" t="str">
        <f t="shared" si="15"/>
        <v>View</v>
      </c>
      <c r="J336" t="s">
        <v>127</v>
      </c>
      <c r="K336" t="s">
        <v>129</v>
      </c>
      <c r="L336">
        <v>61513</v>
      </c>
      <c r="M336">
        <v>10.23</v>
      </c>
      <c r="N336">
        <v>98.04</v>
      </c>
      <c r="P336">
        <v>1</v>
      </c>
      <c r="R336" t="s">
        <v>23</v>
      </c>
      <c r="S336" t="s">
        <v>24</v>
      </c>
      <c r="T336" t="s">
        <v>316</v>
      </c>
    </row>
    <row r="337" spans="1:20" x14ac:dyDescent="0.25">
      <c r="A337">
        <v>36</v>
      </c>
      <c r="B337" t="str">
        <f>HYPERLINK("https://imapinvasives.natureserve.org/imap/services/page/Presence/1321179.html", "View")</f>
        <v>View</v>
      </c>
      <c r="C337">
        <v>1321179</v>
      </c>
      <c r="D337">
        <v>1333114</v>
      </c>
      <c r="E337" t="str">
        <f>HYPERLINK("http://imap3images.s3-website-us-east-1.amazonaws.com/1333114/p/imap_app_photo_1676480094496.jpg", "View")</f>
        <v>View</v>
      </c>
      <c r="F337" t="s">
        <v>127</v>
      </c>
      <c r="G337" t="s">
        <v>128</v>
      </c>
      <c r="H337">
        <v>61513</v>
      </c>
      <c r="I337" t="str">
        <f t="shared" si="15"/>
        <v>View</v>
      </c>
      <c r="J337" t="s">
        <v>127</v>
      </c>
      <c r="K337" t="s">
        <v>129</v>
      </c>
      <c r="L337">
        <v>61513</v>
      </c>
      <c r="M337">
        <v>10.23</v>
      </c>
      <c r="N337">
        <v>84.2</v>
      </c>
      <c r="P337">
        <v>1</v>
      </c>
      <c r="R337" t="s">
        <v>23</v>
      </c>
      <c r="S337" t="s">
        <v>24</v>
      </c>
      <c r="T337" t="s">
        <v>316</v>
      </c>
    </row>
    <row r="338" spans="1:20" x14ac:dyDescent="0.25">
      <c r="A338">
        <v>37</v>
      </c>
      <c r="B338" t="str">
        <f>HYPERLINK("https://imapinvasives.natureserve.org/imap/services/page/Presence/1258279.html", "View")</f>
        <v>View</v>
      </c>
      <c r="C338">
        <v>1258279</v>
      </c>
      <c r="D338">
        <v>1266913</v>
      </c>
      <c r="E338" t="str">
        <f>HYPERLINK("http://imap3images.s3-website-us-east-1.amazonaws.com/1266913/p/imap_app_photo_1647272405410.jpg", "View")</f>
        <v>View</v>
      </c>
      <c r="F338" t="s">
        <v>127</v>
      </c>
      <c r="G338" t="s">
        <v>128</v>
      </c>
      <c r="H338">
        <v>61513</v>
      </c>
      <c r="I338" t="str">
        <f t="shared" si="15"/>
        <v>View</v>
      </c>
      <c r="J338" t="s">
        <v>127</v>
      </c>
      <c r="K338" t="s">
        <v>129</v>
      </c>
      <c r="L338">
        <v>61513</v>
      </c>
      <c r="M338">
        <v>11.12</v>
      </c>
      <c r="N338">
        <v>72.05</v>
      </c>
      <c r="P338">
        <v>1</v>
      </c>
      <c r="R338" t="s">
        <v>23</v>
      </c>
      <c r="S338" t="s">
        <v>24</v>
      </c>
      <c r="T338" t="s">
        <v>316</v>
      </c>
    </row>
    <row r="339" spans="1:20" x14ac:dyDescent="0.25">
      <c r="A339">
        <v>38</v>
      </c>
      <c r="B339" t="str">
        <f>HYPERLINK("https://imapinvasives.natureserve.org/imap/services/page/Presence/1043658.html", "View")</f>
        <v>View</v>
      </c>
      <c r="C339">
        <v>1043658</v>
      </c>
      <c r="D339">
        <v>1047507</v>
      </c>
      <c r="E339" t="str">
        <f>HYPERLINK("http://imap3images.s3-website-us-east-1.amazonaws.com/1047507/p/IMG_0015.JPG", "View")</f>
        <v>View</v>
      </c>
      <c r="F339" t="s">
        <v>127</v>
      </c>
      <c r="G339" t="s">
        <v>128</v>
      </c>
      <c r="H339">
        <v>61513</v>
      </c>
      <c r="I339" t="str">
        <f t="shared" si="15"/>
        <v>View</v>
      </c>
      <c r="J339" t="s">
        <v>127</v>
      </c>
      <c r="K339" t="s">
        <v>129</v>
      </c>
      <c r="L339">
        <v>61513</v>
      </c>
      <c r="M339">
        <v>28.13</v>
      </c>
      <c r="N339">
        <v>99.37</v>
      </c>
      <c r="P339">
        <v>1</v>
      </c>
      <c r="R339" t="s">
        <v>23</v>
      </c>
      <c r="S339" t="s">
        <v>24</v>
      </c>
      <c r="T339" t="s">
        <v>316</v>
      </c>
    </row>
    <row r="340" spans="1:20" x14ac:dyDescent="0.25">
      <c r="A340">
        <v>39</v>
      </c>
      <c r="B340" t="str">
        <f>HYPERLINK("https://imapinvasives.natureserve.org/imap/services/page/Presence/1410903.html", "View")</f>
        <v>View</v>
      </c>
      <c r="C340">
        <v>1410903</v>
      </c>
      <c r="D340">
        <v>1423443</v>
      </c>
      <c r="E340" t="str">
        <f>HYPERLINK("http://imap3images.s3-website-us-east-1.amazonaws.com/1423443/p/HWA_great_neck.jpg", "View")</f>
        <v>View</v>
      </c>
      <c r="F340" t="s">
        <v>127</v>
      </c>
      <c r="G340" t="s">
        <v>128</v>
      </c>
      <c r="H340">
        <v>61513</v>
      </c>
      <c r="I340" t="str">
        <f t="shared" si="15"/>
        <v>View</v>
      </c>
      <c r="J340" t="s">
        <v>127</v>
      </c>
      <c r="K340" t="s">
        <v>129</v>
      </c>
      <c r="L340">
        <v>61513</v>
      </c>
      <c r="M340">
        <v>28.13</v>
      </c>
      <c r="N340">
        <v>66.42</v>
      </c>
      <c r="P340">
        <v>1</v>
      </c>
      <c r="R340" t="s">
        <v>23</v>
      </c>
      <c r="S340" t="s">
        <v>24</v>
      </c>
      <c r="T340" t="s">
        <v>316</v>
      </c>
    </row>
    <row r="341" spans="1:20" x14ac:dyDescent="0.25">
      <c r="A341">
        <v>40</v>
      </c>
      <c r="B341" t="str">
        <f>HYPERLINK("https://imapinvasives.natureserve.org/imap/services/page/Presence/1045974.html", "View")</f>
        <v>View</v>
      </c>
      <c r="C341">
        <v>1045974</v>
      </c>
      <c r="D341">
        <v>1049887</v>
      </c>
      <c r="E341" t="str">
        <f>HYPERLINK("http://imap3images.s3-website-us-east-1.amazonaws.com/1049887/p/imap_app_photo_1588647029485.jpg", "View")</f>
        <v>View</v>
      </c>
      <c r="F341" t="s">
        <v>127</v>
      </c>
      <c r="G341" t="s">
        <v>128</v>
      </c>
      <c r="H341">
        <v>61513</v>
      </c>
      <c r="I341" t="str">
        <f t="shared" si="15"/>
        <v>View</v>
      </c>
      <c r="J341" t="s">
        <v>127</v>
      </c>
      <c r="K341" t="s">
        <v>129</v>
      </c>
      <c r="L341">
        <v>61513</v>
      </c>
      <c r="M341">
        <v>28.13</v>
      </c>
      <c r="N341">
        <v>98.61</v>
      </c>
      <c r="P341">
        <v>1</v>
      </c>
      <c r="R341" t="s">
        <v>23</v>
      </c>
      <c r="S341" t="s">
        <v>24</v>
      </c>
      <c r="T341" t="s">
        <v>316</v>
      </c>
    </row>
    <row r="342" spans="1:20" x14ac:dyDescent="0.25">
      <c r="A342">
        <v>41</v>
      </c>
      <c r="B342" t="str">
        <f>HYPERLINK("https://imapinvasives.natureserve.org/imap/services/page/Presence/1045975.html", "View")</f>
        <v>View</v>
      </c>
      <c r="C342">
        <v>1045975</v>
      </c>
      <c r="D342">
        <v>1049888</v>
      </c>
      <c r="E342" t="str">
        <f>HYPERLINK("http://imap3images.s3-website-us-east-1.amazonaws.com/1049888/p/imap_app_photo_1588647035821.jpg", "View")</f>
        <v>View</v>
      </c>
      <c r="F342" t="s">
        <v>127</v>
      </c>
      <c r="G342" t="s">
        <v>128</v>
      </c>
      <c r="H342">
        <v>61513</v>
      </c>
      <c r="I342" t="str">
        <f t="shared" si="15"/>
        <v>View</v>
      </c>
      <c r="J342" t="s">
        <v>127</v>
      </c>
      <c r="K342" t="s">
        <v>129</v>
      </c>
      <c r="L342">
        <v>61513</v>
      </c>
      <c r="M342">
        <v>28.13</v>
      </c>
      <c r="N342">
        <v>79.69</v>
      </c>
      <c r="P342">
        <v>1</v>
      </c>
      <c r="R342" t="s">
        <v>23</v>
      </c>
      <c r="S342" t="s">
        <v>24</v>
      </c>
      <c r="T342" t="s">
        <v>316</v>
      </c>
    </row>
    <row r="343" spans="1:20" x14ac:dyDescent="0.25">
      <c r="A343">
        <v>42</v>
      </c>
      <c r="B343" t="str">
        <f>HYPERLINK("https://imapinvasives.natureserve.org/imap/services/page/Presence/1319683.html", "View")</f>
        <v>View</v>
      </c>
      <c r="C343">
        <v>1319683</v>
      </c>
      <c r="D343">
        <v>1330874</v>
      </c>
      <c r="E343" t="str">
        <f>HYPERLINK("http://imap3images.s3-website-us-east-1.amazonaws.com/1330874/p/Photo3-20221220-191243.jpg", "View")</f>
        <v>View</v>
      </c>
      <c r="F343" t="s">
        <v>127</v>
      </c>
      <c r="G343" t="s">
        <v>128</v>
      </c>
      <c r="H343">
        <v>61513</v>
      </c>
      <c r="I343" t="str">
        <f>HYPERLINK("https://www.inaturalist.org/taxa/49662-Platanus-occidentalis", "View")</f>
        <v>View</v>
      </c>
      <c r="J343" t="s">
        <v>136</v>
      </c>
      <c r="K343" t="s">
        <v>137</v>
      </c>
      <c r="L343">
        <v>49662</v>
      </c>
      <c r="M343">
        <v>31.69</v>
      </c>
      <c r="N343">
        <v>19.850000000000001</v>
      </c>
      <c r="P343">
        <v>0</v>
      </c>
      <c r="R343" t="s">
        <v>40</v>
      </c>
      <c r="S343" t="s">
        <v>33</v>
      </c>
      <c r="T343" t="s">
        <v>317</v>
      </c>
    </row>
    <row r="344" spans="1:20" x14ac:dyDescent="0.25">
      <c r="A344">
        <v>43</v>
      </c>
      <c r="B344" t="str">
        <f>HYPERLINK("https://imapinvasives.natureserve.org/imap/services/page/Presence/1258276.html", "View")</f>
        <v>View</v>
      </c>
      <c r="C344">
        <v>1258276</v>
      </c>
      <c r="D344">
        <v>1266910</v>
      </c>
      <c r="E344" t="str">
        <f>HYPERLINK("http://imap3images.s3-website-us-east-1.amazonaws.com/1266910/p/HWA_Wilson_North.jpg", "View")</f>
        <v>View</v>
      </c>
      <c r="F344" t="s">
        <v>127</v>
      </c>
      <c r="G344" t="s">
        <v>128</v>
      </c>
      <c r="H344">
        <v>61513</v>
      </c>
      <c r="I344" t="str">
        <f>HYPERLINK("https://www.inaturalist.org/taxa/48734-Tsuga-canadensis", "View")</f>
        <v>View</v>
      </c>
      <c r="J344" t="s">
        <v>130</v>
      </c>
      <c r="K344" t="s">
        <v>131</v>
      </c>
      <c r="L344">
        <v>48734</v>
      </c>
      <c r="M344">
        <v>28.6</v>
      </c>
      <c r="N344">
        <v>73.31</v>
      </c>
      <c r="P344">
        <v>0</v>
      </c>
      <c r="R344" t="s">
        <v>29</v>
      </c>
      <c r="S344" t="s">
        <v>24</v>
      </c>
      <c r="T344" t="s">
        <v>316</v>
      </c>
    </row>
    <row r="345" spans="1:20" x14ac:dyDescent="0.25">
      <c r="A345">
        <v>44</v>
      </c>
      <c r="B345" t="str">
        <f>HYPERLINK("https://imapinvasives.natureserve.org/imap/services/page/Presence/1322590.html", "View")</f>
        <v>View</v>
      </c>
      <c r="C345">
        <v>1322590</v>
      </c>
      <c r="D345">
        <v>1334704</v>
      </c>
      <c r="E345" t="str">
        <f>HYPERLINK("http://imap3images.s3-website-us-east-1.amazonaws.com/1334704/p/imap_app_photo_1676996099998.jpg", "View")</f>
        <v>View</v>
      </c>
      <c r="F345" t="s">
        <v>127</v>
      </c>
      <c r="G345" t="s">
        <v>128</v>
      </c>
      <c r="H345">
        <v>61513</v>
      </c>
      <c r="I345" t="str">
        <f>HYPERLINK("https://www.inaturalist.org/taxa/48734-Tsuga-canadensis", "View")</f>
        <v>View</v>
      </c>
      <c r="J345" t="s">
        <v>130</v>
      </c>
      <c r="K345" t="s">
        <v>131</v>
      </c>
      <c r="L345">
        <v>48734</v>
      </c>
      <c r="M345">
        <v>31.3</v>
      </c>
      <c r="N345">
        <v>60.15</v>
      </c>
      <c r="P345">
        <v>0</v>
      </c>
      <c r="R345" t="s">
        <v>29</v>
      </c>
      <c r="S345" t="s">
        <v>24</v>
      </c>
      <c r="T345" t="s">
        <v>316</v>
      </c>
    </row>
    <row r="346" spans="1:20" x14ac:dyDescent="0.25">
      <c r="A346">
        <v>45</v>
      </c>
      <c r="B346" t="str">
        <f>HYPERLINK("https://imapinvasives.natureserve.org/imap/services/page/Presence/1286209.html", "View")</f>
        <v>View</v>
      </c>
      <c r="C346">
        <v>1286209</v>
      </c>
      <c r="D346">
        <v>1295932</v>
      </c>
      <c r="E346" t="str">
        <f>HYPERLINK("http://imap3images.s3-website-us-east-1.amazonaws.com/1295932/p/imap_app_photo_1660241809589.jpg", "View")</f>
        <v>View</v>
      </c>
      <c r="F346" t="s">
        <v>127</v>
      </c>
      <c r="G346" t="s">
        <v>128</v>
      </c>
      <c r="H346">
        <v>61513</v>
      </c>
      <c r="I346" t="str">
        <f>HYPERLINK("https://www.inaturalist.org/taxa/61513-Adelges-tsugae", "View")</f>
        <v>View</v>
      </c>
      <c r="J346" t="s">
        <v>127</v>
      </c>
      <c r="K346" t="s">
        <v>129</v>
      </c>
      <c r="L346">
        <v>61513</v>
      </c>
      <c r="M346">
        <v>10.050000000000001</v>
      </c>
      <c r="N346">
        <v>98.76</v>
      </c>
      <c r="P346">
        <v>1</v>
      </c>
      <c r="R346" t="s">
        <v>23</v>
      </c>
      <c r="S346" t="s">
        <v>24</v>
      </c>
      <c r="T346" t="s">
        <v>316</v>
      </c>
    </row>
    <row r="347" spans="1:20" x14ac:dyDescent="0.25">
      <c r="A347">
        <v>46</v>
      </c>
      <c r="B347" t="str">
        <f>HYPERLINK("https://imapinvasives.natureserve.org/imap/services/page/Presence/1182700.html", "View")</f>
        <v>View</v>
      </c>
      <c r="C347">
        <v>1182700</v>
      </c>
      <c r="D347">
        <v>1190665</v>
      </c>
      <c r="E347" t="str">
        <f>HYPERLINK("http://imap3images.s3-website-us-east-1.amazonaws.com/1190665/p/imap_app_photo_1638131062846.jpg", "View")</f>
        <v>View</v>
      </c>
      <c r="F347" t="s">
        <v>127</v>
      </c>
      <c r="G347" t="s">
        <v>128</v>
      </c>
      <c r="H347">
        <v>61513</v>
      </c>
      <c r="I347" t="str">
        <f>HYPERLINK("https://www.inaturalist.org/taxa/48734-Tsuga-canadensis", "View")</f>
        <v>View</v>
      </c>
      <c r="J347" t="s">
        <v>130</v>
      </c>
      <c r="K347" t="s">
        <v>131</v>
      </c>
      <c r="L347">
        <v>48734</v>
      </c>
      <c r="M347">
        <v>35.630000000000003</v>
      </c>
      <c r="N347">
        <v>81.08</v>
      </c>
      <c r="P347">
        <v>0</v>
      </c>
      <c r="R347" t="s">
        <v>29</v>
      </c>
      <c r="S347" t="s">
        <v>39</v>
      </c>
      <c r="T347" t="s">
        <v>317</v>
      </c>
    </row>
    <row r="348" spans="1:20" x14ac:dyDescent="0.25">
      <c r="A348">
        <v>47</v>
      </c>
      <c r="B348" t="str">
        <f>HYPERLINK("https://imapinvasives.natureserve.org/imap/services/page/Presence/1323047.html", "View")</f>
        <v>View</v>
      </c>
      <c r="C348">
        <v>1323047</v>
      </c>
      <c r="D348">
        <v>1335184</v>
      </c>
      <c r="E348" t="str">
        <f>HYPERLINK("http://imap3images.s3-website-us-east-1.amazonaws.com/1335184/p/imap_app_photo_1678310591307.jpg", "View")</f>
        <v>View</v>
      </c>
      <c r="F348" t="s">
        <v>127</v>
      </c>
      <c r="G348" t="s">
        <v>128</v>
      </c>
      <c r="H348">
        <v>61513</v>
      </c>
      <c r="I348" t="str">
        <f>HYPERLINK("https://www.inaturalist.org/taxa/61513-Adelges-tsugae", "View")</f>
        <v>View</v>
      </c>
      <c r="J348" t="s">
        <v>127</v>
      </c>
      <c r="K348" t="s">
        <v>129</v>
      </c>
      <c r="L348">
        <v>61513</v>
      </c>
      <c r="M348">
        <v>8.16</v>
      </c>
      <c r="N348">
        <v>81.11</v>
      </c>
      <c r="P348">
        <v>1</v>
      </c>
      <c r="R348" t="s">
        <v>23</v>
      </c>
      <c r="S348" t="s">
        <v>24</v>
      </c>
      <c r="T348" t="s">
        <v>316</v>
      </c>
    </row>
    <row r="349" spans="1:20" x14ac:dyDescent="0.25">
      <c r="A349">
        <v>48</v>
      </c>
      <c r="B349" t="str">
        <f>HYPERLINK("https://imapinvasives.natureserve.org/imap/services/page/Presence/1042396.html", "View")</f>
        <v>View</v>
      </c>
      <c r="C349">
        <v>1042396</v>
      </c>
      <c r="D349">
        <v>1046245</v>
      </c>
      <c r="E349" t="str">
        <f>HYPERLINK("http://imap3images.s3-website-us-east-1.amazonaws.com/1046245/p/Photo3-20190809-135448.jpg", "View")</f>
        <v>View</v>
      </c>
      <c r="F349" t="s">
        <v>127</v>
      </c>
      <c r="G349" t="s">
        <v>128</v>
      </c>
      <c r="H349">
        <v>61513</v>
      </c>
      <c r="I349" t="str">
        <f>HYPERLINK("https://www.inaturalist.org/taxa/48734-Tsuga-canadensis", "View")</f>
        <v>View</v>
      </c>
      <c r="J349" t="s">
        <v>130</v>
      </c>
      <c r="K349" t="s">
        <v>131</v>
      </c>
      <c r="L349">
        <v>48734</v>
      </c>
      <c r="M349">
        <v>70.72</v>
      </c>
      <c r="N349">
        <v>13.38</v>
      </c>
      <c r="P349">
        <v>0</v>
      </c>
      <c r="R349" t="s">
        <v>40</v>
      </c>
      <c r="S349" t="s">
        <v>33</v>
      </c>
      <c r="T349" t="s">
        <v>317</v>
      </c>
    </row>
    <row r="350" spans="1:20" x14ac:dyDescent="0.25">
      <c r="A350">
        <v>49</v>
      </c>
      <c r="B350" t="str">
        <f>HYPERLINK("https://imapinvasives.natureserve.org/imap/services/page/Presence/1345242.html", "View")</f>
        <v>View</v>
      </c>
      <c r="C350">
        <v>1345242</v>
      </c>
      <c r="D350">
        <v>1361383</v>
      </c>
      <c r="E350" t="str">
        <f>HYPERLINK("http://imap3images.s3-website-us-east-1.amazonaws.com/1361383/p/imap_app_photo_1691355089641.jpg", "View")</f>
        <v>View</v>
      </c>
      <c r="F350" t="s">
        <v>127</v>
      </c>
      <c r="G350" t="s">
        <v>128</v>
      </c>
      <c r="H350">
        <v>61513</v>
      </c>
      <c r="I350" t="str">
        <f>HYPERLINK("https://www.inaturalist.org/taxa/48734-Tsuga-canadensis", "View")</f>
        <v>View</v>
      </c>
      <c r="J350" t="s">
        <v>130</v>
      </c>
      <c r="K350" t="s">
        <v>131</v>
      </c>
      <c r="L350">
        <v>48734</v>
      </c>
      <c r="M350">
        <v>70.72</v>
      </c>
      <c r="N350">
        <v>87.93</v>
      </c>
      <c r="P350">
        <v>0</v>
      </c>
      <c r="R350" t="s">
        <v>29</v>
      </c>
      <c r="S350" t="s">
        <v>24</v>
      </c>
      <c r="T350" t="s">
        <v>316</v>
      </c>
    </row>
    <row r="351" spans="1:20" x14ac:dyDescent="0.25">
      <c r="A351">
        <v>50</v>
      </c>
      <c r="B351" t="str">
        <f>HYPERLINK("https://imapinvasives.natureserve.org/imap/services/page/Presence/1390036.html", "View")</f>
        <v>View</v>
      </c>
      <c r="C351">
        <v>1390036</v>
      </c>
      <c r="D351">
        <v>1408140</v>
      </c>
      <c r="E351" t="str">
        <f>HYPERLINK("http://imap3images.s3-website-us-east-1.amazonaws.com/1408140/p/Photo2-20231206-165212.jpg", "View")</f>
        <v>View</v>
      </c>
      <c r="F351" t="s">
        <v>127</v>
      </c>
      <c r="G351" t="s">
        <v>128</v>
      </c>
      <c r="H351">
        <v>61513</v>
      </c>
      <c r="I351" t="str">
        <f>HYPERLINK("https://www.inaturalist.org/taxa/61513-Adelges-tsugae", "View")</f>
        <v>View</v>
      </c>
      <c r="J351" t="s">
        <v>127</v>
      </c>
      <c r="K351" t="s">
        <v>129</v>
      </c>
      <c r="L351">
        <v>61513</v>
      </c>
      <c r="M351">
        <v>6.44</v>
      </c>
      <c r="N351">
        <v>99.26</v>
      </c>
      <c r="P351">
        <v>1</v>
      </c>
      <c r="R351" t="s">
        <v>23</v>
      </c>
      <c r="S351" t="s">
        <v>24</v>
      </c>
      <c r="T351" t="s">
        <v>316</v>
      </c>
    </row>
    <row r="352" spans="1:20" x14ac:dyDescent="0.25">
      <c r="A352">
        <v>51</v>
      </c>
      <c r="B352" t="str">
        <f>HYPERLINK("https://imapinvasives.natureserve.org/imap/services/page/Presence/1276563.html", "View")</f>
        <v>View</v>
      </c>
      <c r="C352">
        <v>1276563</v>
      </c>
      <c r="D352">
        <v>1285917</v>
      </c>
      <c r="E352" t="str">
        <f>HYPERLINK("http://imap3images.s3-website-us-east-1.amazonaws.com/1285917/p/imap_app_photo_1655906977543.jpg", "View")</f>
        <v>View</v>
      </c>
      <c r="F352" t="s">
        <v>127</v>
      </c>
      <c r="G352" t="s">
        <v>128</v>
      </c>
      <c r="H352">
        <v>61513</v>
      </c>
      <c r="I352" t="str">
        <f>HYPERLINK("https://www.inaturalist.org/taxa/48734-Tsuga-canadensis", "View")</f>
        <v>View</v>
      </c>
      <c r="J352" t="s">
        <v>130</v>
      </c>
      <c r="K352" t="s">
        <v>131</v>
      </c>
      <c r="L352">
        <v>48734</v>
      </c>
      <c r="M352">
        <v>29.42</v>
      </c>
      <c r="N352">
        <v>55.51</v>
      </c>
      <c r="P352">
        <v>0</v>
      </c>
      <c r="R352" t="s">
        <v>29</v>
      </c>
      <c r="S352" t="s">
        <v>24</v>
      </c>
      <c r="T352" t="s">
        <v>316</v>
      </c>
    </row>
    <row r="353" spans="1:20" x14ac:dyDescent="0.25">
      <c r="A353">
        <v>52</v>
      </c>
      <c r="B353" t="str">
        <f>HYPERLINK("https://imapinvasives.natureserve.org/imap/services/page/Presence/1248470.html", "View")</f>
        <v>View</v>
      </c>
      <c r="C353">
        <v>1248470</v>
      </c>
      <c r="D353">
        <v>1256587</v>
      </c>
      <c r="E353" t="str">
        <f>HYPERLINK("http://imap3images.s3-website-us-east-1.amazonaws.com/1256587/p/Photo2-20211221-115928.jpg", "View")</f>
        <v>View</v>
      </c>
      <c r="F353" t="s">
        <v>127</v>
      </c>
      <c r="G353" t="s">
        <v>128</v>
      </c>
      <c r="H353">
        <v>61513</v>
      </c>
      <c r="I353" t="str">
        <f t="shared" ref="I353:I360" si="16">HYPERLINK("https://www.inaturalist.org/taxa/61513-Adelges-tsugae", "View")</f>
        <v>View</v>
      </c>
      <c r="J353" t="s">
        <v>127</v>
      </c>
      <c r="K353" t="s">
        <v>129</v>
      </c>
      <c r="L353">
        <v>61513</v>
      </c>
      <c r="M353">
        <v>7.06</v>
      </c>
      <c r="N353">
        <v>90.98</v>
      </c>
      <c r="P353">
        <v>1</v>
      </c>
      <c r="R353" t="s">
        <v>23</v>
      </c>
      <c r="S353" t="s">
        <v>24</v>
      </c>
      <c r="T353" t="s">
        <v>316</v>
      </c>
    </row>
    <row r="354" spans="1:20" x14ac:dyDescent="0.25">
      <c r="A354">
        <v>53</v>
      </c>
      <c r="B354" t="str">
        <f>HYPERLINK("https://imapinvasives.natureserve.org/imap/services/page/Presence/1336457.html", "View")</f>
        <v>View</v>
      </c>
      <c r="C354">
        <v>1336457</v>
      </c>
      <c r="D354">
        <v>1350835</v>
      </c>
      <c r="E354" t="str">
        <f>HYPERLINK("http://imap3images.s3-website-us-east-1.amazonaws.com/1350835/p/imap_app_photo_1687460047172.jpg", "View")</f>
        <v>View</v>
      </c>
      <c r="F354" t="s">
        <v>127</v>
      </c>
      <c r="G354" t="s">
        <v>128</v>
      </c>
      <c r="H354">
        <v>61513</v>
      </c>
      <c r="I354" t="str">
        <f t="shared" si="16"/>
        <v>View</v>
      </c>
      <c r="J354" t="s">
        <v>127</v>
      </c>
      <c r="K354" t="s">
        <v>129</v>
      </c>
      <c r="L354">
        <v>61513</v>
      </c>
      <c r="M354">
        <v>7.06</v>
      </c>
      <c r="N354">
        <v>73.040000000000006</v>
      </c>
      <c r="P354">
        <v>1</v>
      </c>
      <c r="R354" t="s">
        <v>23</v>
      </c>
      <c r="S354" t="s">
        <v>24</v>
      </c>
      <c r="T354" t="s">
        <v>316</v>
      </c>
    </row>
    <row r="355" spans="1:20" x14ac:dyDescent="0.25">
      <c r="A355">
        <v>54</v>
      </c>
      <c r="B355" t="str">
        <f>HYPERLINK("https://imapinvasives.natureserve.org/imap/services/page/Presence/1247139.html", "View")</f>
        <v>View</v>
      </c>
      <c r="C355">
        <v>1247139</v>
      </c>
      <c r="D355">
        <v>1255233</v>
      </c>
      <c r="E355" t="str">
        <f>HYPERLINK("http://imap3images.s3-website-us-east-1.amazonaws.com/1255233/p/imap_app_photo_1639761705505.jpg", "View")</f>
        <v>View</v>
      </c>
      <c r="F355" t="s">
        <v>127</v>
      </c>
      <c r="G355" t="s">
        <v>128</v>
      </c>
      <c r="H355">
        <v>61513</v>
      </c>
      <c r="I355" t="str">
        <f t="shared" si="16"/>
        <v>View</v>
      </c>
      <c r="J355" t="s">
        <v>127</v>
      </c>
      <c r="K355" t="s">
        <v>129</v>
      </c>
      <c r="L355">
        <v>61513</v>
      </c>
      <c r="M355">
        <v>6.33</v>
      </c>
      <c r="N355">
        <v>86.41</v>
      </c>
      <c r="P355">
        <v>1</v>
      </c>
      <c r="R355" t="s">
        <v>23</v>
      </c>
      <c r="S355" t="s">
        <v>24</v>
      </c>
      <c r="T355" t="s">
        <v>316</v>
      </c>
    </row>
    <row r="356" spans="1:20" x14ac:dyDescent="0.25">
      <c r="A356">
        <v>55</v>
      </c>
      <c r="B356" t="str">
        <f>HYPERLINK("https://imapinvasives.natureserve.org/imap/services/page/Presence/1199023.html", "View")</f>
        <v>View</v>
      </c>
      <c r="C356">
        <v>1199023</v>
      </c>
      <c r="D356">
        <v>1207080</v>
      </c>
      <c r="E356" t="str">
        <f>HYPERLINK("http://imap3images.s3-website-us-east-1.amazonaws.com/1207080/p/IMG_20211130_113740048_HDR.jpg", "View")</f>
        <v>View</v>
      </c>
      <c r="F356" t="s">
        <v>127</v>
      </c>
      <c r="G356" t="s">
        <v>128</v>
      </c>
      <c r="H356">
        <v>61513</v>
      </c>
      <c r="I356" t="str">
        <f t="shared" si="16"/>
        <v>View</v>
      </c>
      <c r="J356" t="s">
        <v>127</v>
      </c>
      <c r="K356" t="s">
        <v>129</v>
      </c>
      <c r="L356">
        <v>61513</v>
      </c>
      <c r="M356">
        <v>6.33</v>
      </c>
      <c r="N356">
        <v>85.07</v>
      </c>
      <c r="P356">
        <v>1</v>
      </c>
      <c r="R356" t="s">
        <v>23</v>
      </c>
      <c r="S356" t="s">
        <v>24</v>
      </c>
      <c r="T356" t="s">
        <v>316</v>
      </c>
    </row>
    <row r="357" spans="1:20" x14ac:dyDescent="0.25">
      <c r="A357">
        <v>56</v>
      </c>
      <c r="B357" t="str">
        <f>HYPERLINK("https://imapinvasives.natureserve.org/imap/services/page/Presence/1249947.html", "View")</f>
        <v>View</v>
      </c>
      <c r="C357">
        <v>1249947</v>
      </c>
      <c r="D357">
        <v>1258238</v>
      </c>
      <c r="E357" t="str">
        <f>HYPERLINK("http://imap3images.s3-website-us-east-1.amazonaws.com/1258238/p/Photo1-20220125-193402.jpg", "View")</f>
        <v>View</v>
      </c>
      <c r="F357" t="s">
        <v>127</v>
      </c>
      <c r="G357" t="s">
        <v>128</v>
      </c>
      <c r="H357">
        <v>61513</v>
      </c>
      <c r="I357" t="str">
        <f t="shared" si="16"/>
        <v>View</v>
      </c>
      <c r="J357" t="s">
        <v>127</v>
      </c>
      <c r="K357" t="s">
        <v>129</v>
      </c>
      <c r="L357">
        <v>61513</v>
      </c>
      <c r="M357">
        <v>36.64</v>
      </c>
      <c r="N357">
        <v>54.07</v>
      </c>
      <c r="P357">
        <v>1</v>
      </c>
      <c r="R357" t="s">
        <v>23</v>
      </c>
      <c r="S357" t="s">
        <v>24</v>
      </c>
      <c r="T357" t="s">
        <v>316</v>
      </c>
    </row>
    <row r="358" spans="1:20" x14ac:dyDescent="0.25">
      <c r="A358">
        <v>57</v>
      </c>
      <c r="B358" t="str">
        <f>HYPERLINK("https://imapinvasives.natureserve.org/imap/services/page/Presence/523457.html", "View")</f>
        <v>View</v>
      </c>
      <c r="C358">
        <v>523457</v>
      </c>
      <c r="D358">
        <v>523457</v>
      </c>
      <c r="E358" t="str">
        <f>HYPERLINK("http://imap3images.s3-website-us-east-1.amazonaws.com/523457/p/photourl1_2017_10_26_sartravalio_pnwghxos.jpg", "View")</f>
        <v>View</v>
      </c>
      <c r="F358" t="s">
        <v>127</v>
      </c>
      <c r="G358" t="s">
        <v>128</v>
      </c>
      <c r="H358">
        <v>61513</v>
      </c>
      <c r="I358" t="str">
        <f t="shared" si="16"/>
        <v>View</v>
      </c>
      <c r="J358" t="s">
        <v>127</v>
      </c>
      <c r="K358" t="s">
        <v>129</v>
      </c>
      <c r="L358">
        <v>61513</v>
      </c>
      <c r="M358">
        <v>36.64</v>
      </c>
      <c r="N358">
        <v>45.69</v>
      </c>
      <c r="P358">
        <v>1</v>
      </c>
      <c r="R358" t="s">
        <v>23</v>
      </c>
      <c r="S358" t="s">
        <v>24</v>
      </c>
      <c r="T358" t="s">
        <v>316</v>
      </c>
    </row>
    <row r="359" spans="1:20" x14ac:dyDescent="0.25">
      <c r="A359">
        <v>58</v>
      </c>
      <c r="B359" t="str">
        <f>HYPERLINK("https://imapinvasives.natureserve.org/imap/services/page/Presence/1271911.html", "View")</f>
        <v>View</v>
      </c>
      <c r="C359">
        <v>1271911</v>
      </c>
      <c r="D359">
        <v>1280930</v>
      </c>
      <c r="E359" t="str">
        <f>HYPERLINK("http://imap3images.s3-website-us-east-1.amazonaws.com/1280930/p/imap_app_photo_1652464835372.jpg", "View")</f>
        <v>View</v>
      </c>
      <c r="F359" t="s">
        <v>127</v>
      </c>
      <c r="G359" t="s">
        <v>128</v>
      </c>
      <c r="H359">
        <v>61513</v>
      </c>
      <c r="I359" t="str">
        <f t="shared" si="16"/>
        <v>View</v>
      </c>
      <c r="J359" t="s">
        <v>127</v>
      </c>
      <c r="K359" t="s">
        <v>129</v>
      </c>
      <c r="L359">
        <v>61513</v>
      </c>
      <c r="M359">
        <v>20.96</v>
      </c>
      <c r="N359">
        <v>47.26</v>
      </c>
      <c r="P359">
        <v>1</v>
      </c>
      <c r="R359" t="s">
        <v>23</v>
      </c>
      <c r="S359" t="s">
        <v>24</v>
      </c>
      <c r="T359" t="s">
        <v>316</v>
      </c>
    </row>
    <row r="360" spans="1:20" x14ac:dyDescent="0.25">
      <c r="A360">
        <v>59</v>
      </c>
      <c r="B360" t="str">
        <f>HYPERLINK("https://imapinvasives.natureserve.org/imap/services/page/Presence/1221197.html", "View")</f>
        <v>View</v>
      </c>
      <c r="C360">
        <v>1221197</v>
      </c>
      <c r="D360">
        <v>1229282</v>
      </c>
      <c r="E360" t="str">
        <f>HYPERLINK("http://imap3images.s3-website-us-east-1.amazonaws.com/1229282/p/imap_app_photo_1639070423625.jpg", "View")</f>
        <v>View</v>
      </c>
      <c r="F360" t="s">
        <v>127</v>
      </c>
      <c r="G360" t="s">
        <v>128</v>
      </c>
      <c r="H360">
        <v>61513</v>
      </c>
      <c r="I360" t="str">
        <f t="shared" si="16"/>
        <v>View</v>
      </c>
      <c r="J360" t="s">
        <v>127</v>
      </c>
      <c r="K360" t="s">
        <v>129</v>
      </c>
      <c r="L360">
        <v>61513</v>
      </c>
      <c r="M360">
        <v>20.96</v>
      </c>
      <c r="N360">
        <v>97.12</v>
      </c>
      <c r="P360">
        <v>1</v>
      </c>
      <c r="R360" t="s">
        <v>23</v>
      </c>
      <c r="S360" t="s">
        <v>24</v>
      </c>
      <c r="T360" t="s">
        <v>316</v>
      </c>
    </row>
    <row r="361" spans="1:20" x14ac:dyDescent="0.25">
      <c r="A361">
        <v>60</v>
      </c>
      <c r="B361" t="str">
        <f>HYPERLINK("https://imapinvasives.natureserve.org/imap/services/page/Presence/1356208.html", "View")</f>
        <v>View</v>
      </c>
      <c r="C361">
        <v>1356208</v>
      </c>
      <c r="D361">
        <v>1373842</v>
      </c>
      <c r="E361" t="str">
        <f>HYPERLINK("http://imap3images.s3-website-us-east-1.amazonaws.com/1373842/p/imap_app_photo_1697219043722.jpg", "View")</f>
        <v>View</v>
      </c>
      <c r="F361" t="s">
        <v>127</v>
      </c>
      <c r="G361" t="s">
        <v>128</v>
      </c>
      <c r="H361">
        <v>61513</v>
      </c>
      <c r="I361" t="str">
        <f>HYPERLINK("https://www.inaturalist.org/taxa/447063-Fiorinia-externa", "View")</f>
        <v>View</v>
      </c>
      <c r="J361" t="s">
        <v>132</v>
      </c>
      <c r="K361" t="s">
        <v>133</v>
      </c>
      <c r="L361">
        <v>447063</v>
      </c>
      <c r="M361">
        <v>3.59</v>
      </c>
      <c r="N361">
        <v>81.09</v>
      </c>
      <c r="P361">
        <v>0</v>
      </c>
      <c r="R361" t="s">
        <v>32</v>
      </c>
      <c r="S361" t="s">
        <v>24</v>
      </c>
      <c r="T361" t="s">
        <v>316</v>
      </c>
    </row>
    <row r="362" spans="1:20" x14ac:dyDescent="0.25">
      <c r="A362">
        <v>61</v>
      </c>
      <c r="B362" t="str">
        <f>HYPERLINK("https://imapinvasives.natureserve.org/imap/services/page/Presence/1363053.html", "View")</f>
        <v>View</v>
      </c>
      <c r="C362">
        <v>1363053</v>
      </c>
      <c r="D362">
        <v>1380823</v>
      </c>
      <c r="E362" t="str">
        <f>HYPERLINK("http://imap3images.s3-website-us-east-1.amazonaws.com/1380823/p/imap_app_photo_1699462570087.jpg", "View")</f>
        <v>View</v>
      </c>
      <c r="F362" t="s">
        <v>127</v>
      </c>
      <c r="G362" t="s">
        <v>128</v>
      </c>
      <c r="H362">
        <v>61513</v>
      </c>
      <c r="I362" t="str">
        <f>HYPERLINK("https://www.inaturalist.org/taxa/48734-Tsuga-canadensis", "View")</f>
        <v>View</v>
      </c>
      <c r="J362" t="s">
        <v>130</v>
      </c>
      <c r="K362" t="s">
        <v>131</v>
      </c>
      <c r="L362">
        <v>48734</v>
      </c>
      <c r="M362">
        <v>53.7</v>
      </c>
      <c r="N362">
        <v>55.32</v>
      </c>
      <c r="P362">
        <v>0</v>
      </c>
      <c r="R362" t="s">
        <v>29</v>
      </c>
      <c r="S362" t="s">
        <v>24</v>
      </c>
      <c r="T362" t="s">
        <v>316</v>
      </c>
    </row>
    <row r="363" spans="1:20" x14ac:dyDescent="0.25">
      <c r="A363">
        <v>62</v>
      </c>
      <c r="B363" t="str">
        <f>HYPERLINK("https://imapinvasives.natureserve.org/imap/services/page/Presence/1131824.html", "View")</f>
        <v>View</v>
      </c>
      <c r="C363">
        <v>1131824</v>
      </c>
      <c r="D363">
        <v>1138205</v>
      </c>
      <c r="E363" t="str">
        <f>HYPERLINK("http://imap3images.s3-website-us-east-1.amazonaws.com/1138205/p/imap_app_photo_1618354118809.jpg", "View")</f>
        <v>View</v>
      </c>
      <c r="F363" t="s">
        <v>127</v>
      </c>
      <c r="G363" t="s">
        <v>128</v>
      </c>
      <c r="H363">
        <v>61513</v>
      </c>
      <c r="I363" t="str">
        <f>HYPERLINK("https://www.inaturalist.org/taxa/61513-Adelges-tsugae", "View")</f>
        <v>View</v>
      </c>
      <c r="J363" t="s">
        <v>127</v>
      </c>
      <c r="K363" t="s">
        <v>129</v>
      </c>
      <c r="L363">
        <v>61513</v>
      </c>
      <c r="M363">
        <v>11.6</v>
      </c>
      <c r="N363">
        <v>89.25</v>
      </c>
      <c r="P363">
        <v>1</v>
      </c>
      <c r="R363" t="s">
        <v>23</v>
      </c>
      <c r="S363" t="s">
        <v>24</v>
      </c>
      <c r="T363" t="s">
        <v>316</v>
      </c>
    </row>
    <row r="364" spans="1:20" x14ac:dyDescent="0.25">
      <c r="A364">
        <v>63</v>
      </c>
      <c r="B364" t="str">
        <f>HYPERLINK("https://imapinvasives.natureserve.org/imap/services/page/Presence/1119062.html", "View")</f>
        <v>View</v>
      </c>
      <c r="C364">
        <v>1119062</v>
      </c>
      <c r="D364">
        <v>1125211</v>
      </c>
      <c r="E364" t="str">
        <f>HYPERLINK("http://imap3images.s3-website-us-east-1.amazonaws.com/1125211/p/imap_app_photo_1614633235256.jpg", "View")</f>
        <v>View</v>
      </c>
      <c r="F364" t="s">
        <v>127</v>
      </c>
      <c r="G364" t="s">
        <v>128</v>
      </c>
      <c r="H364">
        <v>61513</v>
      </c>
      <c r="I364" t="str">
        <f>HYPERLINK("https://www.inaturalist.org/taxa/447063-Fiorinia-externa", "View")</f>
        <v>View</v>
      </c>
      <c r="J364" t="s">
        <v>132</v>
      </c>
      <c r="K364" t="s">
        <v>133</v>
      </c>
      <c r="L364">
        <v>447063</v>
      </c>
      <c r="M364">
        <v>6.49</v>
      </c>
      <c r="N364">
        <v>71.34</v>
      </c>
      <c r="P364">
        <v>0</v>
      </c>
      <c r="R364" t="s">
        <v>29</v>
      </c>
      <c r="S364" t="s">
        <v>24</v>
      </c>
      <c r="T364" t="s">
        <v>316</v>
      </c>
    </row>
    <row r="365" spans="1:20" x14ac:dyDescent="0.25">
      <c r="A365">
        <v>64</v>
      </c>
      <c r="B365" t="str">
        <f>HYPERLINK("https://imapinvasives.natureserve.org/imap/services/page/Presence/1323033.html", "View")</f>
        <v>View</v>
      </c>
      <c r="C365">
        <v>1323033</v>
      </c>
      <c r="D365">
        <v>1335170</v>
      </c>
      <c r="E365" t="str">
        <f>HYPERLINK("http://imap3images.s3-website-us-east-1.amazonaws.com/1335170/p/imap_app_photo_1678287975953.jpg", "View")</f>
        <v>View</v>
      </c>
      <c r="F365" t="s">
        <v>127</v>
      </c>
      <c r="G365" t="s">
        <v>128</v>
      </c>
      <c r="H365">
        <v>61513</v>
      </c>
      <c r="I365" t="str">
        <f>HYPERLINK("https://www.inaturalist.org/taxa/61513-Adelges-tsugae", "View")</f>
        <v>View</v>
      </c>
      <c r="J365" t="s">
        <v>127</v>
      </c>
      <c r="K365" t="s">
        <v>129</v>
      </c>
      <c r="L365">
        <v>61513</v>
      </c>
      <c r="M365">
        <v>10</v>
      </c>
      <c r="N365">
        <v>99.11</v>
      </c>
      <c r="P365">
        <v>1</v>
      </c>
      <c r="R365" t="s">
        <v>23</v>
      </c>
      <c r="S365" t="s">
        <v>24</v>
      </c>
      <c r="T365" t="s">
        <v>316</v>
      </c>
    </row>
    <row r="366" spans="1:20" x14ac:dyDescent="0.25">
      <c r="A366">
        <v>65</v>
      </c>
      <c r="B366" t="str">
        <f>HYPERLINK("https://imapinvasives.natureserve.org/imap/services/page/Presence/1390793.html", "View")</f>
        <v>View</v>
      </c>
      <c r="C366">
        <v>1390793</v>
      </c>
      <c r="D366">
        <v>1408921</v>
      </c>
      <c r="E366" t="str">
        <f>HYPERLINK("http://imap3images.s3-website-us-east-1.amazonaws.com/1408921/p/imap_app_photo_1709856071299.jpg", "View")</f>
        <v>View</v>
      </c>
      <c r="F366" t="s">
        <v>127</v>
      </c>
      <c r="G366" t="s">
        <v>128</v>
      </c>
      <c r="H366">
        <v>61513</v>
      </c>
      <c r="I366" t="str">
        <f>HYPERLINK("https://www.inaturalist.org/taxa/61513-Adelges-tsugae", "View")</f>
        <v>View</v>
      </c>
      <c r="J366" t="s">
        <v>127</v>
      </c>
      <c r="K366" t="s">
        <v>129</v>
      </c>
      <c r="L366">
        <v>61513</v>
      </c>
      <c r="M366">
        <v>10</v>
      </c>
      <c r="N366">
        <v>94.73</v>
      </c>
      <c r="P366">
        <v>1</v>
      </c>
      <c r="R366" t="s">
        <v>23</v>
      </c>
      <c r="S366" t="s">
        <v>24</v>
      </c>
      <c r="T366" t="s">
        <v>316</v>
      </c>
    </row>
    <row r="367" spans="1:20" x14ac:dyDescent="0.25">
      <c r="A367">
        <v>66</v>
      </c>
      <c r="B367" t="str">
        <f>HYPERLINK("https://imapinvasives.natureserve.org/imap/services/page/Presence/1270753.html", "View")</f>
        <v>View</v>
      </c>
      <c r="C367">
        <v>1270753</v>
      </c>
      <c r="D367">
        <v>1279693</v>
      </c>
      <c r="E367" t="str">
        <f>HYPERLINK("http://imap3images.s3-website-us-east-1.amazonaws.com/1279693/p/imap_app_photo_1650741491240.jpg", "View")</f>
        <v>View</v>
      </c>
      <c r="F367" t="s">
        <v>127</v>
      </c>
      <c r="G367" t="s">
        <v>128</v>
      </c>
      <c r="H367">
        <v>61513</v>
      </c>
      <c r="I367" t="str">
        <f>HYPERLINK("https://www.inaturalist.org/taxa/61513-Adelges-tsugae", "View")</f>
        <v>View</v>
      </c>
      <c r="J367" t="s">
        <v>127</v>
      </c>
      <c r="K367" t="s">
        <v>129</v>
      </c>
      <c r="L367">
        <v>61513</v>
      </c>
      <c r="M367">
        <v>9.48</v>
      </c>
      <c r="N367">
        <v>86.03</v>
      </c>
      <c r="P367">
        <v>1</v>
      </c>
      <c r="R367" t="s">
        <v>23</v>
      </c>
      <c r="S367" t="s">
        <v>24</v>
      </c>
      <c r="T367" t="s">
        <v>316</v>
      </c>
    </row>
    <row r="368" spans="1:20" x14ac:dyDescent="0.25">
      <c r="A368">
        <v>67</v>
      </c>
      <c r="B368" t="str">
        <f>HYPERLINK("https://imapinvasives.natureserve.org/imap/services/page/Presence/524542.html", "View")</f>
        <v>View</v>
      </c>
      <c r="C368">
        <v>524542</v>
      </c>
      <c r="D368">
        <v>524542</v>
      </c>
      <c r="E368" t="str">
        <f>HYPERLINK("http://imap3images.s3-website-us-east-1.amazonaws.com/524542/p/photourl1_2018_02_08_nicdietschler_nl0zs1tw.jpg", "View")</f>
        <v>View</v>
      </c>
      <c r="F368" t="s">
        <v>127</v>
      </c>
      <c r="G368" t="s">
        <v>128</v>
      </c>
      <c r="H368">
        <v>61513</v>
      </c>
      <c r="I368" t="str">
        <f>HYPERLINK("https://www.inaturalist.org/taxa/61513-Adelges-tsugae", "View")</f>
        <v>View</v>
      </c>
      <c r="J368" t="s">
        <v>127</v>
      </c>
      <c r="K368" t="s">
        <v>129</v>
      </c>
      <c r="L368">
        <v>61513</v>
      </c>
      <c r="M368">
        <v>11.69</v>
      </c>
      <c r="N368">
        <v>91.74</v>
      </c>
      <c r="P368">
        <v>1</v>
      </c>
      <c r="R368" t="s">
        <v>23</v>
      </c>
      <c r="S368" t="s">
        <v>24</v>
      </c>
      <c r="T368" t="s">
        <v>316</v>
      </c>
    </row>
    <row r="369" spans="1:20" x14ac:dyDescent="0.25">
      <c r="A369">
        <v>68</v>
      </c>
      <c r="B369" t="str">
        <f>HYPERLINK("https://imapinvasives.natureserve.org/imap/services/page/Presence/1342732.html", "View")</f>
        <v>View</v>
      </c>
      <c r="C369">
        <v>1342732</v>
      </c>
      <c r="D369">
        <v>1358215</v>
      </c>
      <c r="E369" t="str">
        <f>HYPERLINK("http://imap3images.s3-website-us-east-1.amazonaws.com/1358215/p/Photo2-20230705-114914.jpg", "View")</f>
        <v>View</v>
      </c>
      <c r="F369" t="s">
        <v>127</v>
      </c>
      <c r="G369" t="s">
        <v>128</v>
      </c>
      <c r="H369">
        <v>61513</v>
      </c>
      <c r="I369" t="str">
        <f>HYPERLINK("https://www.inaturalist.org/taxa/48734-Tsuga-canadensis", "View")</f>
        <v>View</v>
      </c>
      <c r="J369" t="s">
        <v>130</v>
      </c>
      <c r="K369" t="s">
        <v>131</v>
      </c>
      <c r="L369">
        <v>48734</v>
      </c>
      <c r="M369">
        <v>35.57</v>
      </c>
      <c r="N369">
        <v>98.64</v>
      </c>
      <c r="P369">
        <v>0</v>
      </c>
      <c r="R369" t="s">
        <v>29</v>
      </c>
      <c r="S369" t="s">
        <v>24</v>
      </c>
      <c r="T369" t="s">
        <v>316</v>
      </c>
    </row>
    <row r="370" spans="1:20" x14ac:dyDescent="0.25">
      <c r="A370">
        <v>69</v>
      </c>
      <c r="B370" t="str">
        <f>HYPERLINK("https://imapinvasives.natureserve.org/imap/services/page/Presence/1033403.html", "View")</f>
        <v>View</v>
      </c>
      <c r="C370">
        <v>1033403</v>
      </c>
      <c r="D370">
        <v>1035033</v>
      </c>
      <c r="E370" t="str">
        <f>HYPERLINK("http://imap3images.s3-website-us-east-1.amazonaws.com/1035033/p/imap_app_photo_1571084536858.jpg", "View")</f>
        <v>View</v>
      </c>
      <c r="F370" t="s">
        <v>127</v>
      </c>
      <c r="G370" t="s">
        <v>128</v>
      </c>
      <c r="H370">
        <v>61513</v>
      </c>
      <c r="I370" t="str">
        <f>HYPERLINK("https://www.inaturalist.org/taxa/447063-Fiorinia-externa", "View")</f>
        <v>View</v>
      </c>
      <c r="J370" t="s">
        <v>132</v>
      </c>
      <c r="K370" t="s">
        <v>133</v>
      </c>
      <c r="L370">
        <v>447063</v>
      </c>
      <c r="M370">
        <v>2.09</v>
      </c>
      <c r="N370">
        <v>12.87</v>
      </c>
      <c r="P370">
        <v>0</v>
      </c>
      <c r="R370" t="s">
        <v>29</v>
      </c>
      <c r="S370" t="s">
        <v>24</v>
      </c>
      <c r="T370" t="s">
        <v>316</v>
      </c>
    </row>
    <row r="371" spans="1:20" x14ac:dyDescent="0.25">
      <c r="A371">
        <v>70</v>
      </c>
      <c r="B371" t="str">
        <f>HYPERLINK("https://imapinvasives.natureserve.org/imap/services/page/Presence/1269835.html", "View")</f>
        <v>View</v>
      </c>
      <c r="C371">
        <v>1269835</v>
      </c>
      <c r="D371">
        <v>1278766</v>
      </c>
      <c r="E371" t="str">
        <f>HYPERLINK("http://imap3images.s3-website-us-east-1.amazonaws.com/1278766/p/imap_app_photo_1650057094093.jpg", "View")</f>
        <v>View</v>
      </c>
      <c r="F371" t="s">
        <v>127</v>
      </c>
      <c r="G371" t="s">
        <v>128</v>
      </c>
      <c r="H371">
        <v>61513</v>
      </c>
      <c r="I371" t="str">
        <f>HYPERLINK("https://www.inaturalist.org/taxa/61513-Adelges-tsugae", "View")</f>
        <v>View</v>
      </c>
      <c r="J371" t="s">
        <v>127</v>
      </c>
      <c r="K371" t="s">
        <v>129</v>
      </c>
      <c r="L371">
        <v>61513</v>
      </c>
      <c r="M371">
        <v>9.48</v>
      </c>
      <c r="N371">
        <v>99.22</v>
      </c>
      <c r="P371">
        <v>1</v>
      </c>
      <c r="R371" t="s">
        <v>23</v>
      </c>
      <c r="S371" t="s">
        <v>24</v>
      </c>
      <c r="T371" t="s">
        <v>316</v>
      </c>
    </row>
    <row r="372" spans="1:20" x14ac:dyDescent="0.25">
      <c r="A372">
        <v>71</v>
      </c>
      <c r="B372" t="str">
        <f>HYPERLINK("https://imapinvasives.natureserve.org/imap/services/page/Presence/533116.html", "View")</f>
        <v>View</v>
      </c>
      <c r="C372">
        <v>533116</v>
      </c>
      <c r="D372">
        <v>533116</v>
      </c>
      <c r="E372" t="str">
        <f>HYPERLINK("http://imap3images.s3-website-us-east-1.amazonaws.com/533116/p/photourl1_2019_02_22_nicdietschler_m380wyqt.jpg", "View")</f>
        <v>View</v>
      </c>
      <c r="F372" t="s">
        <v>127</v>
      </c>
      <c r="G372" t="s">
        <v>128</v>
      </c>
      <c r="H372">
        <v>61513</v>
      </c>
      <c r="I372" t="str">
        <f>HYPERLINK("https://www.inaturalist.org/taxa/61513-Adelges-tsugae", "View")</f>
        <v>View</v>
      </c>
      <c r="J372" t="s">
        <v>127</v>
      </c>
      <c r="K372" t="s">
        <v>129</v>
      </c>
      <c r="L372">
        <v>61513</v>
      </c>
      <c r="M372">
        <v>9.48</v>
      </c>
      <c r="N372">
        <v>96.55</v>
      </c>
      <c r="P372">
        <v>1</v>
      </c>
      <c r="R372" t="s">
        <v>23</v>
      </c>
      <c r="S372" t="s">
        <v>24</v>
      </c>
      <c r="T372" t="s">
        <v>316</v>
      </c>
    </row>
    <row r="373" spans="1:20" x14ac:dyDescent="0.25">
      <c r="A373">
        <v>72</v>
      </c>
      <c r="B373" t="str">
        <f>HYPERLINK("https://imapinvasives.natureserve.org/imap/services/page/Presence/1130981.html", "View")</f>
        <v>View</v>
      </c>
      <c r="C373">
        <v>1130981</v>
      </c>
      <c r="D373">
        <v>1137144</v>
      </c>
      <c r="E373" t="str">
        <f>HYPERLINK("http://imap3images.s3-website-us-east-1.amazonaws.com/1137144/p/imap_app_photo_1617151627766.jpg", "View")</f>
        <v>View</v>
      </c>
      <c r="F373" t="s">
        <v>127</v>
      </c>
      <c r="G373" t="s">
        <v>128</v>
      </c>
      <c r="H373">
        <v>61513</v>
      </c>
      <c r="I373" t="str">
        <f>HYPERLINK("https://www.inaturalist.org/taxa/61513-Adelges-tsugae", "View")</f>
        <v>View</v>
      </c>
      <c r="J373" t="s">
        <v>127</v>
      </c>
      <c r="K373" t="s">
        <v>129</v>
      </c>
      <c r="L373">
        <v>61513</v>
      </c>
      <c r="M373">
        <v>19.04</v>
      </c>
      <c r="N373">
        <v>98.74</v>
      </c>
      <c r="P373">
        <v>1</v>
      </c>
      <c r="R373" t="s">
        <v>23</v>
      </c>
      <c r="S373" t="s">
        <v>24</v>
      </c>
      <c r="T373" t="s">
        <v>316</v>
      </c>
    </row>
    <row r="374" spans="1:20" x14ac:dyDescent="0.25">
      <c r="A374">
        <v>73</v>
      </c>
      <c r="B374" t="str">
        <f>HYPERLINK("https://imapinvasives.natureserve.org/imap/services/page/Presence/1253766.html", "View")</f>
        <v>View</v>
      </c>
      <c r="C374">
        <v>1253766</v>
      </c>
      <c r="D374">
        <v>1262325</v>
      </c>
      <c r="E374" t="str">
        <f>HYPERLINK("http://imap3images.s3-website-us-east-1.amazonaws.com/1262325/p/PXL_20220219_171920863.jpg", "View")</f>
        <v>View</v>
      </c>
      <c r="F374" t="s">
        <v>127</v>
      </c>
      <c r="G374" t="s">
        <v>128</v>
      </c>
      <c r="H374">
        <v>61513</v>
      </c>
      <c r="I374" t="str">
        <f>HYPERLINK("https://www.inaturalist.org/taxa/48734-Tsuga-canadensis", "View")</f>
        <v>View</v>
      </c>
      <c r="J374" t="s">
        <v>130</v>
      </c>
      <c r="K374" t="s">
        <v>131</v>
      </c>
      <c r="L374">
        <v>48734</v>
      </c>
      <c r="M374">
        <v>43.62</v>
      </c>
      <c r="N374">
        <v>86.53</v>
      </c>
      <c r="P374">
        <v>0</v>
      </c>
      <c r="R374" t="s">
        <v>29</v>
      </c>
      <c r="S374" t="s">
        <v>24</v>
      </c>
      <c r="T374" t="s">
        <v>316</v>
      </c>
    </row>
    <row r="375" spans="1:20" x14ac:dyDescent="0.25">
      <c r="A375">
        <v>74</v>
      </c>
      <c r="B375" t="str">
        <f>HYPERLINK("https://imapinvasives.natureserve.org/imap/services/page/Presence/1068451.html", "View")</f>
        <v>View</v>
      </c>
      <c r="C375">
        <v>1068451</v>
      </c>
      <c r="D375">
        <v>1073278</v>
      </c>
      <c r="E375" t="str">
        <f>HYPERLINK("http://imap3images.s3-website-us-east-1.amazonaws.com/1073278/p/imap_app_photo_1599567435962.jpg", "View")</f>
        <v>View</v>
      </c>
      <c r="F375" t="s">
        <v>127</v>
      </c>
      <c r="G375" t="s">
        <v>128</v>
      </c>
      <c r="H375">
        <v>61513</v>
      </c>
      <c r="I375" t="str">
        <f>HYPERLINK("https://www.inaturalist.org/taxa/447063-Fiorinia-externa", "View")</f>
        <v>View</v>
      </c>
      <c r="J375" t="s">
        <v>132</v>
      </c>
      <c r="K375" t="s">
        <v>133</v>
      </c>
      <c r="L375">
        <v>447063</v>
      </c>
      <c r="M375">
        <v>2.13</v>
      </c>
      <c r="N375">
        <v>41.14</v>
      </c>
      <c r="P375">
        <v>0</v>
      </c>
      <c r="R375" t="s">
        <v>29</v>
      </c>
      <c r="S375" t="s">
        <v>24</v>
      </c>
      <c r="T375" t="s">
        <v>316</v>
      </c>
    </row>
    <row r="376" spans="1:20" x14ac:dyDescent="0.25">
      <c r="A376">
        <v>75</v>
      </c>
      <c r="B376" t="str">
        <f>HYPERLINK("https://imapinvasives.natureserve.org/imap/services/page/Presence/1249840.html", "View")</f>
        <v>View</v>
      </c>
      <c r="C376">
        <v>1249840</v>
      </c>
      <c r="D376">
        <v>1258123</v>
      </c>
      <c r="E376" t="str">
        <f>HYPERLINK("http://imap3images.s3-website-us-east-1.amazonaws.com/1258123/p/imap_app_photo_1643033701664.jpg", "View")</f>
        <v>View</v>
      </c>
      <c r="F376" t="s">
        <v>127</v>
      </c>
      <c r="G376" t="s">
        <v>128</v>
      </c>
      <c r="H376">
        <v>61513</v>
      </c>
      <c r="I376" t="str">
        <f>HYPERLINK("https://www.inaturalist.org/taxa/61513-Adelges-tsugae", "View")</f>
        <v>View</v>
      </c>
      <c r="J376" t="s">
        <v>127</v>
      </c>
      <c r="K376" t="s">
        <v>129</v>
      </c>
      <c r="L376">
        <v>61513</v>
      </c>
      <c r="M376">
        <v>7.57</v>
      </c>
      <c r="N376">
        <v>97.9</v>
      </c>
      <c r="P376">
        <v>1</v>
      </c>
      <c r="R376" t="s">
        <v>23</v>
      </c>
      <c r="S376" t="s">
        <v>24</v>
      </c>
      <c r="T376" t="s">
        <v>316</v>
      </c>
    </row>
    <row r="377" spans="1:20" x14ac:dyDescent="0.25">
      <c r="A377">
        <v>76</v>
      </c>
      <c r="B377" t="str">
        <f>HYPERLINK("https://imapinvasives.natureserve.org/imap/services/page/Presence/1267976.html", "View")</f>
        <v>View</v>
      </c>
      <c r="C377">
        <v>1267976</v>
      </c>
      <c r="D377">
        <v>1276781</v>
      </c>
      <c r="E377" t="str">
        <f>HYPERLINK("http://imap3images.s3-website-us-east-1.amazonaws.com/1276781/p/imap_app_photo_1648306860954.jpg", "View")</f>
        <v>View</v>
      </c>
      <c r="F377" t="s">
        <v>127</v>
      </c>
      <c r="G377" t="s">
        <v>128</v>
      </c>
      <c r="H377">
        <v>61513</v>
      </c>
      <c r="I377" t="str">
        <f>HYPERLINK("https://www.inaturalist.org/taxa/48734-Tsuga-canadensis", "View")</f>
        <v>View</v>
      </c>
      <c r="J377" t="s">
        <v>130</v>
      </c>
      <c r="K377" t="s">
        <v>131</v>
      </c>
      <c r="L377">
        <v>48734</v>
      </c>
      <c r="M377">
        <v>38.119999999999997</v>
      </c>
      <c r="N377">
        <v>50.73</v>
      </c>
      <c r="P377">
        <v>0</v>
      </c>
      <c r="R377" t="s">
        <v>29</v>
      </c>
      <c r="S377" t="s">
        <v>24</v>
      </c>
      <c r="T377" t="s">
        <v>316</v>
      </c>
    </row>
    <row r="378" spans="1:20" x14ac:dyDescent="0.25">
      <c r="A378">
        <v>77</v>
      </c>
      <c r="B378" t="str">
        <f>HYPERLINK("https://imapinvasives.natureserve.org/imap/services/page/Presence/1145795.html", "View")</f>
        <v>View</v>
      </c>
      <c r="C378">
        <v>1145795</v>
      </c>
      <c r="D378">
        <v>1152337</v>
      </c>
      <c r="E378" t="str">
        <f>HYPERLINK("http://imap3images.s3-website-us-east-1.amazonaws.com/1152337/p/imap_app_photo_1623788685516.jpg", "View")</f>
        <v>View</v>
      </c>
      <c r="F378" t="s">
        <v>127</v>
      </c>
      <c r="G378" t="s">
        <v>128</v>
      </c>
      <c r="H378">
        <v>61513</v>
      </c>
      <c r="I378" t="str">
        <f>HYPERLINK("https://www.inaturalist.org/taxa/61513-Adelges-tsugae", "View")</f>
        <v>View</v>
      </c>
      <c r="J378" t="s">
        <v>127</v>
      </c>
      <c r="K378" t="s">
        <v>129</v>
      </c>
      <c r="L378">
        <v>61513</v>
      </c>
      <c r="M378">
        <v>14.36</v>
      </c>
      <c r="N378">
        <v>88.98</v>
      </c>
      <c r="P378">
        <v>1</v>
      </c>
      <c r="R378" t="s">
        <v>23</v>
      </c>
      <c r="S378" t="s">
        <v>24</v>
      </c>
      <c r="T378" t="s">
        <v>316</v>
      </c>
    </row>
    <row r="379" spans="1:20" x14ac:dyDescent="0.25">
      <c r="A379">
        <v>78</v>
      </c>
      <c r="B379" t="str">
        <f>HYPERLINK("https://imapinvasives.natureserve.org/imap/services/page/Presence/532891.html", "View")</f>
        <v>View</v>
      </c>
      <c r="C379">
        <v>532891</v>
      </c>
      <c r="D379">
        <v>532891</v>
      </c>
      <c r="E379" t="str">
        <f>HYPERLINK("http://imap3images.s3-website-us-east-1.amazonaws.com/532891/p/photourl1_2019_02_08_garboleslav_btdmfr30.jpg", "View")</f>
        <v>View</v>
      </c>
      <c r="F379" t="s">
        <v>127</v>
      </c>
      <c r="G379" t="s">
        <v>128</v>
      </c>
      <c r="H379">
        <v>61513</v>
      </c>
      <c r="I379" t="str">
        <f>HYPERLINK("https://www.inaturalist.org/taxa/447063-Fiorinia-externa", "View")</f>
        <v>View</v>
      </c>
      <c r="J379" t="s">
        <v>132</v>
      </c>
      <c r="K379" t="s">
        <v>133</v>
      </c>
      <c r="L379">
        <v>447063</v>
      </c>
      <c r="M379">
        <v>1.94</v>
      </c>
      <c r="N379">
        <v>61.43</v>
      </c>
      <c r="P379">
        <v>0</v>
      </c>
      <c r="R379" t="s">
        <v>32</v>
      </c>
      <c r="S379" t="s">
        <v>24</v>
      </c>
      <c r="T379" t="s">
        <v>316</v>
      </c>
    </row>
    <row r="380" spans="1:20" x14ac:dyDescent="0.25">
      <c r="A380">
        <v>79</v>
      </c>
      <c r="B380" t="str">
        <f>HYPERLINK("https://imapinvasives.natureserve.org/imap/services/page/Presence/1390098.html", "View")</f>
        <v>View</v>
      </c>
      <c r="C380">
        <v>1390098</v>
      </c>
      <c r="D380">
        <v>1408204</v>
      </c>
      <c r="E380" t="str">
        <f>HYPERLINK("http://imap3images.s3-website-us-east-1.amazonaws.com/1408204/p/imap_app_photo_1709210340452.jpg", "View")</f>
        <v>View</v>
      </c>
      <c r="F380" t="s">
        <v>127</v>
      </c>
      <c r="G380" t="s">
        <v>128</v>
      </c>
      <c r="H380">
        <v>61513</v>
      </c>
      <c r="I380" t="str">
        <f>HYPERLINK("https://www.inaturalist.org/taxa/61513-Adelges-tsugae", "View")</f>
        <v>View</v>
      </c>
      <c r="J380" t="s">
        <v>127</v>
      </c>
      <c r="K380" t="s">
        <v>129</v>
      </c>
      <c r="L380">
        <v>61513</v>
      </c>
      <c r="M380">
        <v>10.72</v>
      </c>
      <c r="N380">
        <v>92.24</v>
      </c>
      <c r="P380">
        <v>1</v>
      </c>
      <c r="R380" t="s">
        <v>23</v>
      </c>
      <c r="S380" t="s">
        <v>24</v>
      </c>
      <c r="T380" t="s">
        <v>316</v>
      </c>
    </row>
    <row r="381" spans="1:20" x14ac:dyDescent="0.25">
      <c r="A381">
        <v>80</v>
      </c>
      <c r="B381" t="str">
        <f>HYPERLINK("https://imapinvasives.natureserve.org/imap/services/page/Presence/524385.html", "View")</f>
        <v>View</v>
      </c>
      <c r="C381">
        <v>524385</v>
      </c>
      <c r="D381">
        <v>524385</v>
      </c>
      <c r="E381" t="str">
        <f>HYPERLINK("http://imap3images.s3-website-us-east-1.amazonaws.com/524385/p/photourl1_2018_01_08_bagwright_9czbc34m.jpg", "View")</f>
        <v>View</v>
      </c>
      <c r="F381" t="s">
        <v>127</v>
      </c>
      <c r="G381" t="s">
        <v>128</v>
      </c>
      <c r="H381">
        <v>61513</v>
      </c>
      <c r="I381" t="str">
        <f>HYPERLINK("https://www.inaturalist.org/taxa/61513-Adelges-tsugae", "View")</f>
        <v>View</v>
      </c>
      <c r="J381" t="s">
        <v>127</v>
      </c>
      <c r="K381" t="s">
        <v>129</v>
      </c>
      <c r="L381">
        <v>61513</v>
      </c>
      <c r="M381">
        <v>23.25</v>
      </c>
      <c r="N381">
        <v>99.04</v>
      </c>
      <c r="P381">
        <v>1</v>
      </c>
      <c r="R381" t="s">
        <v>23</v>
      </c>
      <c r="S381" t="s">
        <v>24</v>
      </c>
      <c r="T381" t="s">
        <v>316</v>
      </c>
    </row>
    <row r="382" spans="1:20" x14ac:dyDescent="0.25">
      <c r="A382">
        <v>81</v>
      </c>
      <c r="B382" t="str">
        <f>HYPERLINK("https://imapinvasives.natureserve.org/imap/services/page/Presence/1326655.html", "View")</f>
        <v>View</v>
      </c>
      <c r="C382">
        <v>1326655</v>
      </c>
      <c r="D382">
        <v>1339370</v>
      </c>
      <c r="E382" t="str">
        <f>HYPERLINK("http://imap3images.s3-website-us-east-1.amazonaws.com/1339370/p/imap_app_photo_1682387495405.jpg", "View")</f>
        <v>View</v>
      </c>
      <c r="F382" t="s">
        <v>127</v>
      </c>
      <c r="G382" t="s">
        <v>128</v>
      </c>
      <c r="H382">
        <v>61513</v>
      </c>
      <c r="I382" t="str">
        <f>HYPERLINK("https://www.inaturalist.org/taxa/61513-Adelges-tsugae", "View")</f>
        <v>View</v>
      </c>
      <c r="J382" t="s">
        <v>127</v>
      </c>
      <c r="K382" t="s">
        <v>129</v>
      </c>
      <c r="L382">
        <v>61513</v>
      </c>
      <c r="M382">
        <v>26.88</v>
      </c>
      <c r="N382">
        <v>92.57</v>
      </c>
      <c r="P382">
        <v>1</v>
      </c>
      <c r="R382" t="s">
        <v>23</v>
      </c>
      <c r="S382" t="s">
        <v>24</v>
      </c>
      <c r="T382" t="s">
        <v>316</v>
      </c>
    </row>
    <row r="383" spans="1:20" x14ac:dyDescent="0.25">
      <c r="A383">
        <v>82</v>
      </c>
      <c r="B383" t="str">
        <f>HYPERLINK("https://imapinvasives.natureserve.org/imap/services/page/Presence/1410938.html", "View")</f>
        <v>View</v>
      </c>
      <c r="C383">
        <v>1410938</v>
      </c>
      <c r="D383">
        <v>1423478</v>
      </c>
      <c r="E383" t="str">
        <f>HYPERLINK("http://imap3images.s3-website-us-east-1.amazonaws.com/1423478/p/imap_app_photo_1718041187178.jpg", "View")</f>
        <v>View</v>
      </c>
      <c r="F383" t="s">
        <v>127</v>
      </c>
      <c r="G383" t="s">
        <v>128</v>
      </c>
      <c r="H383">
        <v>61513</v>
      </c>
      <c r="I383" t="str">
        <f>HYPERLINK("https://www.inaturalist.org/taxa/61513-Adelges-tsugae", "View")</f>
        <v>View</v>
      </c>
      <c r="J383" t="s">
        <v>127</v>
      </c>
      <c r="K383" t="s">
        <v>129</v>
      </c>
      <c r="L383">
        <v>61513</v>
      </c>
      <c r="M383">
        <v>13.26</v>
      </c>
      <c r="N383">
        <v>79.72</v>
      </c>
      <c r="P383">
        <v>1</v>
      </c>
      <c r="R383" t="s">
        <v>23</v>
      </c>
      <c r="S383" t="s">
        <v>24</v>
      </c>
      <c r="T383" t="s">
        <v>316</v>
      </c>
    </row>
    <row r="384" spans="1:20" x14ac:dyDescent="0.25">
      <c r="A384">
        <v>83</v>
      </c>
      <c r="B384" t="str">
        <f>HYPERLINK("https://imapinvasives.natureserve.org/imap/services/page/Presence/1375146.html", "View")</f>
        <v>View</v>
      </c>
      <c r="C384">
        <v>1375146</v>
      </c>
      <c r="D384">
        <v>1393218</v>
      </c>
      <c r="E384" t="str">
        <f>HYPERLINK("http://imap3images.s3-website-us-east-1.amazonaws.com/1393218/p/imap_app_photo_1706918753805.jpg", "View")</f>
        <v>View</v>
      </c>
      <c r="F384" t="s">
        <v>127</v>
      </c>
      <c r="G384" t="s">
        <v>128</v>
      </c>
      <c r="H384">
        <v>61513</v>
      </c>
      <c r="I384" t="str">
        <f>HYPERLINK("https://www.inaturalist.org/taxa/48734-Tsuga-canadensis", "View")</f>
        <v>View</v>
      </c>
      <c r="J384" t="s">
        <v>130</v>
      </c>
      <c r="K384" t="s">
        <v>131</v>
      </c>
      <c r="L384">
        <v>48734</v>
      </c>
      <c r="M384">
        <v>40.369999999999997</v>
      </c>
      <c r="N384">
        <v>62.45</v>
      </c>
      <c r="P384">
        <v>0</v>
      </c>
      <c r="R384" t="s">
        <v>29</v>
      </c>
      <c r="S384" t="s">
        <v>24</v>
      </c>
      <c r="T384" t="s">
        <v>316</v>
      </c>
    </row>
    <row r="385" spans="1:20" x14ac:dyDescent="0.25">
      <c r="A385">
        <v>84</v>
      </c>
      <c r="B385" t="str">
        <f>HYPERLINK("https://imapinvasives.natureserve.org/imap/services/page/Presence/1320925.html", "View")</f>
        <v>View</v>
      </c>
      <c r="C385">
        <v>1320925</v>
      </c>
      <c r="D385">
        <v>1332840</v>
      </c>
      <c r="E385" t="str">
        <f>HYPERLINK("http://imap3images.s3-website-us-east-1.amazonaws.com/1332840/p/imap_app_photo_1675728305553.jpg", "View")</f>
        <v>View</v>
      </c>
      <c r="F385" t="s">
        <v>127</v>
      </c>
      <c r="G385" t="s">
        <v>128</v>
      </c>
      <c r="H385">
        <v>61513</v>
      </c>
      <c r="I385" t="str">
        <f>HYPERLINK("https://www.inaturalist.org/taxa/61513-Adelges-tsugae", "View")</f>
        <v>View</v>
      </c>
      <c r="J385" t="s">
        <v>127</v>
      </c>
      <c r="K385" t="s">
        <v>129</v>
      </c>
      <c r="L385">
        <v>61513</v>
      </c>
      <c r="M385">
        <v>13.26</v>
      </c>
      <c r="N385">
        <v>80.91</v>
      </c>
      <c r="P385">
        <v>1</v>
      </c>
      <c r="R385" t="s">
        <v>23</v>
      </c>
      <c r="S385" t="s">
        <v>24</v>
      </c>
      <c r="T385" t="s">
        <v>316</v>
      </c>
    </row>
    <row r="386" spans="1:20" x14ac:dyDescent="0.25">
      <c r="A386">
        <v>85</v>
      </c>
      <c r="B386" t="str">
        <f>HYPERLINK("https://imapinvasives.natureserve.org/imap/services/page/Presence/1320970.html", "View")</f>
        <v>View</v>
      </c>
      <c r="C386">
        <v>1320970</v>
      </c>
      <c r="D386">
        <v>1332905</v>
      </c>
      <c r="E386" t="str">
        <f>HYPERLINK("http://imap3images.s3-website-us-east-1.amazonaws.com/1332905/p/imap_app_photo_1675899455794.jpg", "View")</f>
        <v>View</v>
      </c>
      <c r="F386" t="s">
        <v>127</v>
      </c>
      <c r="G386" t="s">
        <v>128</v>
      </c>
      <c r="H386">
        <v>61513</v>
      </c>
      <c r="I386" t="str">
        <f>HYPERLINK("https://www.inaturalist.org/taxa/48734-Tsuga-canadensis", "View")</f>
        <v>View</v>
      </c>
      <c r="J386" t="s">
        <v>130</v>
      </c>
      <c r="K386" t="s">
        <v>131</v>
      </c>
      <c r="L386">
        <v>48734</v>
      </c>
      <c r="M386">
        <v>53.7</v>
      </c>
      <c r="N386">
        <v>97.14</v>
      </c>
      <c r="P386">
        <v>0</v>
      </c>
      <c r="R386" t="s">
        <v>29</v>
      </c>
      <c r="S386" t="s">
        <v>24</v>
      </c>
      <c r="T386" t="s">
        <v>316</v>
      </c>
    </row>
    <row r="387" spans="1:20" x14ac:dyDescent="0.25">
      <c r="A387">
        <v>86</v>
      </c>
      <c r="B387" t="str">
        <f>HYPERLINK("https://imapinvasives.natureserve.org/imap/services/page/Presence/1339398.html", "View")</f>
        <v>View</v>
      </c>
      <c r="C387">
        <v>1339398</v>
      </c>
      <c r="D387">
        <v>1354277</v>
      </c>
      <c r="E387" t="str">
        <f>HYPERLINK("http://imap3images.s3-website-us-east-1.amazonaws.com/1354277/p/IMG_3669.jpg", "View")</f>
        <v>View</v>
      </c>
      <c r="F387" t="s">
        <v>127</v>
      </c>
      <c r="G387" t="s">
        <v>128</v>
      </c>
      <c r="H387">
        <v>61513</v>
      </c>
      <c r="I387" t="str">
        <f>HYPERLINK("https://www.inaturalist.org/taxa/136295-Calocedrus-formosana", "View")</f>
        <v>View</v>
      </c>
      <c r="J387" t="s">
        <v>138</v>
      </c>
      <c r="K387" t="s">
        <v>139</v>
      </c>
      <c r="L387">
        <v>136295</v>
      </c>
      <c r="M387">
        <v>0</v>
      </c>
      <c r="N387">
        <v>17.53</v>
      </c>
      <c r="P387">
        <v>0</v>
      </c>
      <c r="R387" t="s">
        <v>40</v>
      </c>
      <c r="S387" t="s">
        <v>33</v>
      </c>
      <c r="T387" t="s">
        <v>317</v>
      </c>
    </row>
    <row r="388" spans="1:20" x14ac:dyDescent="0.25">
      <c r="A388">
        <v>87</v>
      </c>
      <c r="B388" t="str">
        <f>HYPERLINK("https://imapinvasives.natureserve.org/imap/services/page/Presence/1393462.html", "View")</f>
        <v>View</v>
      </c>
      <c r="C388">
        <v>1393462</v>
      </c>
      <c r="D388">
        <v>1411595</v>
      </c>
      <c r="E388" t="str">
        <f>HYPERLINK("http://imap3images.s3-website-us-east-1.amazonaws.com/1411595/p/imap_app_photo_1711555697992.jpg", "View")</f>
        <v>View</v>
      </c>
      <c r="F388" t="s">
        <v>127</v>
      </c>
      <c r="G388" t="s">
        <v>128</v>
      </c>
      <c r="H388">
        <v>61513</v>
      </c>
      <c r="I388" t="str">
        <f>HYPERLINK("https://www.inaturalist.org/taxa/61513-Adelges-tsugae", "View")</f>
        <v>View</v>
      </c>
      <c r="J388" t="s">
        <v>127</v>
      </c>
      <c r="K388" t="s">
        <v>129</v>
      </c>
      <c r="L388">
        <v>61513</v>
      </c>
      <c r="M388">
        <v>9.57</v>
      </c>
      <c r="N388">
        <v>74.319999999999993</v>
      </c>
      <c r="P388">
        <v>1</v>
      </c>
      <c r="R388" t="s">
        <v>23</v>
      </c>
      <c r="S388" t="s">
        <v>24</v>
      </c>
      <c r="T388" t="s">
        <v>316</v>
      </c>
    </row>
    <row r="389" spans="1:20" x14ac:dyDescent="0.25">
      <c r="A389">
        <v>88</v>
      </c>
      <c r="B389" t="str">
        <f>HYPERLINK("https://imapinvasives.natureserve.org/imap/services/page/Presence/1332583.html", "View")</f>
        <v>View</v>
      </c>
      <c r="C389">
        <v>1332583</v>
      </c>
      <c r="D389">
        <v>1346511</v>
      </c>
      <c r="E389" t="str">
        <f>HYPERLINK("http://imap3images.s3-website-us-east-1.amazonaws.com/1346511/p/imap_app_photo_1685574953707.jpg", "View")</f>
        <v>View</v>
      </c>
      <c r="F389" t="s">
        <v>127</v>
      </c>
      <c r="G389" t="s">
        <v>128</v>
      </c>
      <c r="H389">
        <v>61513</v>
      </c>
      <c r="I389" t="str">
        <f>HYPERLINK("https://www.inaturalist.org/taxa/61513-Adelges-tsugae", "View")</f>
        <v>View</v>
      </c>
      <c r="J389" t="s">
        <v>127</v>
      </c>
      <c r="K389" t="s">
        <v>129</v>
      </c>
      <c r="L389">
        <v>61513</v>
      </c>
      <c r="M389">
        <v>36.64</v>
      </c>
      <c r="N389">
        <v>97.62</v>
      </c>
      <c r="P389">
        <v>1</v>
      </c>
      <c r="R389" t="s">
        <v>23</v>
      </c>
      <c r="S389" t="s">
        <v>24</v>
      </c>
      <c r="T389" t="s">
        <v>316</v>
      </c>
    </row>
    <row r="390" spans="1:20" x14ac:dyDescent="0.25">
      <c r="A390">
        <v>89</v>
      </c>
      <c r="B390" t="str">
        <f>HYPERLINK("https://imapinvasives.natureserve.org/imap/services/page/Presence/1077921.html", "View")</f>
        <v>View</v>
      </c>
      <c r="C390">
        <v>1077921</v>
      </c>
      <c r="D390">
        <v>1083501</v>
      </c>
      <c r="E390" t="str">
        <f>HYPERLINK("http://imap3images.s3-website-us-east-1.amazonaws.com/1083501/p/1036A732-B4C4-44BF-8E71-D4E1E89CEFDA.jpeg", "View")</f>
        <v>View</v>
      </c>
      <c r="F390" t="s">
        <v>127</v>
      </c>
      <c r="G390" t="s">
        <v>128</v>
      </c>
      <c r="H390">
        <v>61513</v>
      </c>
      <c r="I390" t="str">
        <f>HYPERLINK("https://www.inaturalist.org/taxa/61513-Adelges-tsugae", "View")</f>
        <v>View</v>
      </c>
      <c r="J390" t="s">
        <v>127</v>
      </c>
      <c r="K390" t="s">
        <v>129</v>
      </c>
      <c r="L390">
        <v>61513</v>
      </c>
      <c r="M390">
        <v>36.64</v>
      </c>
      <c r="N390">
        <v>96.52</v>
      </c>
      <c r="P390">
        <v>1</v>
      </c>
      <c r="R390" t="s">
        <v>23</v>
      </c>
      <c r="S390" t="s">
        <v>24</v>
      </c>
      <c r="T390" t="s">
        <v>316</v>
      </c>
    </row>
    <row r="391" spans="1:20" x14ac:dyDescent="0.25">
      <c r="A391">
        <v>90</v>
      </c>
      <c r="B391" t="str">
        <f>HYPERLINK("https://imapinvasives.natureserve.org/imap/services/page/Presence/1322584.html", "View")</f>
        <v>View</v>
      </c>
      <c r="C391">
        <v>1322584</v>
      </c>
      <c r="D391">
        <v>1334698</v>
      </c>
      <c r="E391" t="str">
        <f>HYPERLINK("http://imap3images.s3-website-us-east-1.amazonaws.com/1334698/p/HWA_1_Belles.jpg", "View")</f>
        <v>View</v>
      </c>
      <c r="F391" t="s">
        <v>127</v>
      </c>
      <c r="G391" t="s">
        <v>128</v>
      </c>
      <c r="H391">
        <v>61513</v>
      </c>
      <c r="I391" t="str">
        <f>HYPERLINK("https://www.inaturalist.org/taxa/61513-Adelges-tsugae", "View")</f>
        <v>View</v>
      </c>
      <c r="J391" t="s">
        <v>127</v>
      </c>
      <c r="K391" t="s">
        <v>129</v>
      </c>
      <c r="L391">
        <v>61513</v>
      </c>
      <c r="M391">
        <v>8.6300000000000008</v>
      </c>
      <c r="N391">
        <v>91.97</v>
      </c>
      <c r="P391">
        <v>1</v>
      </c>
      <c r="R391" t="s">
        <v>23</v>
      </c>
      <c r="S391" t="s">
        <v>24</v>
      </c>
      <c r="T391" t="s">
        <v>316</v>
      </c>
    </row>
    <row r="392" spans="1:20" x14ac:dyDescent="0.25">
      <c r="A392">
        <v>91</v>
      </c>
      <c r="B392" t="str">
        <f>HYPERLINK("https://imapinvasives.natureserve.org/imap/services/page/Presence/334679.html", "View")</f>
        <v>View</v>
      </c>
      <c r="C392">
        <v>334679</v>
      </c>
      <c r="D392">
        <v>334679</v>
      </c>
      <c r="E392" t="str">
        <f>HYPERLINK("http://imap3images.s3-website-us-east-1.amazonaws.com/334679/p/photourl1_2012_11_21_alyreid_u7d1b0vk.jpg", "View")</f>
        <v>View</v>
      </c>
      <c r="F392" t="s">
        <v>127</v>
      </c>
      <c r="G392" t="s">
        <v>128</v>
      </c>
      <c r="H392">
        <v>61513</v>
      </c>
      <c r="I392" t="str">
        <f>HYPERLINK("https://www.inaturalist.org/taxa/48734-Tsuga-canadensis", "View")</f>
        <v>View</v>
      </c>
      <c r="J392" t="s">
        <v>130</v>
      </c>
      <c r="K392" t="s">
        <v>131</v>
      </c>
      <c r="L392">
        <v>48734</v>
      </c>
      <c r="M392">
        <v>35.28</v>
      </c>
      <c r="N392">
        <v>55.24</v>
      </c>
      <c r="P392">
        <v>0</v>
      </c>
      <c r="R392" t="s">
        <v>27</v>
      </c>
      <c r="S392" t="s">
        <v>33</v>
      </c>
      <c r="T392" t="s">
        <v>317</v>
      </c>
    </row>
    <row r="393" spans="1:20" x14ac:dyDescent="0.25">
      <c r="A393">
        <v>92</v>
      </c>
      <c r="B393" t="str">
        <f>HYPERLINK("https://imapinvasives.natureserve.org/imap/services/page/Presence/336447.html", "View")</f>
        <v>View</v>
      </c>
      <c r="C393">
        <v>336447</v>
      </c>
      <c r="D393">
        <v>336447</v>
      </c>
      <c r="E393" t="str">
        <f>HYPERLINK("http://imap3images.s3-website-us-east-1.amazonaws.com/336447/p/photourl2_2013_08_08_scowilkerson_18m2j8af.jpg", "View")</f>
        <v>View</v>
      </c>
      <c r="F393" t="s">
        <v>127</v>
      </c>
      <c r="G393" t="s">
        <v>128</v>
      </c>
      <c r="H393">
        <v>61513</v>
      </c>
      <c r="I393" t="str">
        <f>HYPERLINK("https://www.inaturalist.org/taxa/48734-Tsuga-canadensis", "View")</f>
        <v>View</v>
      </c>
      <c r="J393" t="s">
        <v>130</v>
      </c>
      <c r="K393" t="s">
        <v>131</v>
      </c>
      <c r="L393">
        <v>48734</v>
      </c>
      <c r="M393">
        <v>35.630000000000003</v>
      </c>
      <c r="N393">
        <v>12.89</v>
      </c>
      <c r="P393">
        <v>0</v>
      </c>
      <c r="R393" t="s">
        <v>29</v>
      </c>
      <c r="S393" t="s">
        <v>33</v>
      </c>
      <c r="T393" t="s">
        <v>317</v>
      </c>
    </row>
    <row r="394" spans="1:20" x14ac:dyDescent="0.25">
      <c r="A394">
        <v>93</v>
      </c>
      <c r="B394" t="str">
        <f>HYPERLINK("https://imapinvasives.natureserve.org/imap/services/page/Presence/1332054.html", "View")</f>
        <v>View</v>
      </c>
      <c r="C394">
        <v>1332054</v>
      </c>
      <c r="D394">
        <v>1345720</v>
      </c>
      <c r="E394" t="str">
        <f>HYPERLINK("http://imap3images.s3-website-us-east-1.amazonaws.com/1345720/p/imap_app_photo_1685103547963.jpg", "View")</f>
        <v>View</v>
      </c>
      <c r="F394" t="s">
        <v>127</v>
      </c>
      <c r="G394" t="s">
        <v>128</v>
      </c>
      <c r="H394">
        <v>61513</v>
      </c>
      <c r="I394" t="str">
        <f>HYPERLINK("https://www.inaturalist.org/taxa/61513-Adelges-tsugae", "View")</f>
        <v>View</v>
      </c>
      <c r="J394" t="s">
        <v>127</v>
      </c>
      <c r="K394" t="s">
        <v>129</v>
      </c>
      <c r="L394">
        <v>61513</v>
      </c>
      <c r="M394">
        <v>8.16</v>
      </c>
      <c r="N394">
        <v>98.77</v>
      </c>
      <c r="P394">
        <v>1</v>
      </c>
      <c r="R394" t="s">
        <v>23</v>
      </c>
      <c r="S394" t="s">
        <v>24</v>
      </c>
      <c r="T394" t="s">
        <v>316</v>
      </c>
    </row>
    <row r="395" spans="1:20" x14ac:dyDescent="0.25">
      <c r="A395">
        <v>94</v>
      </c>
      <c r="B395" t="str">
        <f>HYPERLINK("https://imapinvasives.natureserve.org/imap/services/page/Presence/1046343.html", "View")</f>
        <v>View</v>
      </c>
      <c r="C395">
        <v>1046343</v>
      </c>
      <c r="D395">
        <v>1050258</v>
      </c>
      <c r="E395" t="str">
        <f>HYPERLINK("http://imap3images.s3-website-us-east-1.amazonaws.com/1050258/p/imap_app_photo_1589411210029.jpg", "View")</f>
        <v>View</v>
      </c>
      <c r="F395" t="s">
        <v>127</v>
      </c>
      <c r="G395" t="s">
        <v>128</v>
      </c>
      <c r="H395">
        <v>61513</v>
      </c>
      <c r="I395" t="str">
        <f>HYPERLINK("https://www.inaturalist.org/taxa/61513-Adelges-tsugae", "View")</f>
        <v>View</v>
      </c>
      <c r="J395" t="s">
        <v>127</v>
      </c>
      <c r="K395" t="s">
        <v>129</v>
      </c>
      <c r="L395">
        <v>61513</v>
      </c>
      <c r="M395">
        <v>7.57</v>
      </c>
      <c r="N395">
        <v>40.1</v>
      </c>
      <c r="P395">
        <v>1</v>
      </c>
      <c r="R395" t="s">
        <v>23</v>
      </c>
      <c r="S395" t="s">
        <v>24</v>
      </c>
      <c r="T395" t="s">
        <v>316</v>
      </c>
    </row>
    <row r="396" spans="1:20" x14ac:dyDescent="0.25">
      <c r="A396">
        <v>95</v>
      </c>
      <c r="B396" t="str">
        <f>HYPERLINK("https://imapinvasives.natureserve.org/imap/services/page/Presence/1140499.html", "View")</f>
        <v>View</v>
      </c>
      <c r="C396">
        <v>1140499</v>
      </c>
      <c r="D396">
        <v>1147022</v>
      </c>
      <c r="E396" t="str">
        <f>HYPERLINK("http://imap3images.s3-website-us-east-1.amazonaws.com/1147022/p/imap_app_photo_1623095411709.jpg", "View")</f>
        <v>View</v>
      </c>
      <c r="F396" t="s">
        <v>127</v>
      </c>
      <c r="G396" t="s">
        <v>128</v>
      </c>
      <c r="H396">
        <v>61513</v>
      </c>
      <c r="I396" t="str">
        <f>HYPERLINK("https://www.inaturalist.org/taxa/48734-Tsuga-canadensis", "View")</f>
        <v>View</v>
      </c>
      <c r="J396" t="s">
        <v>130</v>
      </c>
      <c r="K396" t="s">
        <v>131</v>
      </c>
      <c r="L396">
        <v>48734</v>
      </c>
      <c r="M396">
        <v>38.119999999999997</v>
      </c>
      <c r="N396">
        <v>78.86</v>
      </c>
      <c r="P396">
        <v>0</v>
      </c>
      <c r="R396" t="s">
        <v>29</v>
      </c>
      <c r="S396" t="s">
        <v>24</v>
      </c>
      <c r="T396" t="s">
        <v>316</v>
      </c>
    </row>
    <row r="397" spans="1:20" x14ac:dyDescent="0.25">
      <c r="A397">
        <v>96</v>
      </c>
      <c r="B397" t="str">
        <f>HYPERLINK("https://imapinvasives.natureserve.org/imap/services/page/Presence/1320977.html", "View")</f>
        <v>View</v>
      </c>
      <c r="C397">
        <v>1320977</v>
      </c>
      <c r="D397">
        <v>1332912</v>
      </c>
      <c r="E397" t="str">
        <f>HYPERLINK("http://imap3images.s3-website-us-east-1.amazonaws.com/1332912/p/imap_app_photo_1675899477735.jpg", "View")</f>
        <v>View</v>
      </c>
      <c r="F397" t="s">
        <v>127</v>
      </c>
      <c r="G397" t="s">
        <v>128</v>
      </c>
      <c r="H397">
        <v>61513</v>
      </c>
      <c r="I397" t="str">
        <f>HYPERLINK("https://www.inaturalist.org/taxa/48734-Tsuga-canadensis", "View")</f>
        <v>View</v>
      </c>
      <c r="J397" t="s">
        <v>130</v>
      </c>
      <c r="K397" t="s">
        <v>131</v>
      </c>
      <c r="L397">
        <v>48734</v>
      </c>
      <c r="M397">
        <v>53.7</v>
      </c>
      <c r="N397">
        <v>93.77</v>
      </c>
      <c r="P397">
        <v>0</v>
      </c>
      <c r="R397" t="s">
        <v>29</v>
      </c>
      <c r="S397" t="s">
        <v>24</v>
      </c>
      <c r="T397" t="s">
        <v>316</v>
      </c>
    </row>
    <row r="398" spans="1:20" x14ac:dyDescent="0.25">
      <c r="A398">
        <v>97</v>
      </c>
      <c r="B398" t="str">
        <f>HYPERLINK("https://imapinvasives.natureserve.org/imap/services/page/Presence/1111115.html", "View")</f>
        <v>View</v>
      </c>
      <c r="C398">
        <v>1111115</v>
      </c>
      <c r="D398">
        <v>1116982</v>
      </c>
      <c r="E398" t="str">
        <f>HYPERLINK("http://imap3images.s3-website-us-east-1.amazonaws.com/1116982/p/imap_app_photo_1607896057443.jpg", "View")</f>
        <v>View</v>
      </c>
      <c r="F398" t="s">
        <v>127</v>
      </c>
      <c r="G398" t="s">
        <v>128</v>
      </c>
      <c r="H398">
        <v>61513</v>
      </c>
      <c r="I398" t="str">
        <f>HYPERLINK("https://www.inaturalist.org/taxa/61513-Adelges-tsugae", "View")</f>
        <v>View</v>
      </c>
      <c r="J398" t="s">
        <v>127</v>
      </c>
      <c r="K398" t="s">
        <v>129</v>
      </c>
      <c r="L398">
        <v>61513</v>
      </c>
      <c r="M398">
        <v>26.88</v>
      </c>
      <c r="N398">
        <v>94.02</v>
      </c>
      <c r="P398">
        <v>1</v>
      </c>
      <c r="R398" t="s">
        <v>23</v>
      </c>
      <c r="S398" t="s">
        <v>24</v>
      </c>
      <c r="T398" t="s">
        <v>316</v>
      </c>
    </row>
    <row r="399" spans="1:20" x14ac:dyDescent="0.25">
      <c r="A399">
        <v>98</v>
      </c>
      <c r="B399" t="str">
        <f>HYPERLINK("https://imapinvasives.natureserve.org/imap/services/page/Presence/1375067.html", "View")</f>
        <v>View</v>
      </c>
      <c r="C399">
        <v>1375067</v>
      </c>
      <c r="D399">
        <v>1393137</v>
      </c>
      <c r="E399" t="str">
        <f>HYPERLINK("http://imap3images.s3-website-us-east-1.amazonaws.com/1393137/p/imap_app_photo_1706495275140.jpg", "View")</f>
        <v>View</v>
      </c>
      <c r="F399" t="s">
        <v>127</v>
      </c>
      <c r="G399" t="s">
        <v>128</v>
      </c>
      <c r="H399">
        <v>61513</v>
      </c>
      <c r="I399" t="str">
        <f>HYPERLINK("https://www.inaturalist.org/taxa/61513-Adelges-tsugae", "View")</f>
        <v>View</v>
      </c>
      <c r="J399" t="s">
        <v>127</v>
      </c>
      <c r="K399" t="s">
        <v>129</v>
      </c>
      <c r="L399">
        <v>61513</v>
      </c>
      <c r="M399">
        <v>10.45</v>
      </c>
      <c r="N399">
        <v>51.81</v>
      </c>
      <c r="P399">
        <v>1</v>
      </c>
      <c r="R399" t="s">
        <v>23</v>
      </c>
      <c r="S399" t="s">
        <v>24</v>
      </c>
      <c r="T399" t="s">
        <v>316</v>
      </c>
    </row>
    <row r="400" spans="1:20" x14ac:dyDescent="0.25">
      <c r="A400">
        <v>99</v>
      </c>
      <c r="B400" t="str">
        <f>HYPERLINK("https://imapinvasives.natureserve.org/imap/services/page/Presence/1274060.html", "View")</f>
        <v>View</v>
      </c>
      <c r="C400">
        <v>1274060</v>
      </c>
      <c r="D400">
        <v>1283262</v>
      </c>
      <c r="E400" t="str">
        <f>HYPERLINK("http://imap3images.s3-website-us-east-1.amazonaws.com/1283262/p/imap_app_photo_1654902179352.jpg", "View")</f>
        <v>View</v>
      </c>
      <c r="F400" t="s">
        <v>127</v>
      </c>
      <c r="G400" t="s">
        <v>128</v>
      </c>
      <c r="H400">
        <v>61513</v>
      </c>
      <c r="I400" t="str">
        <f>HYPERLINK("https://www.inaturalist.org/taxa/61513-Adelges-tsugae", "View")</f>
        <v>View</v>
      </c>
      <c r="J400" t="s">
        <v>127</v>
      </c>
      <c r="K400" t="s">
        <v>129</v>
      </c>
      <c r="L400">
        <v>61513</v>
      </c>
      <c r="M400">
        <v>20.96</v>
      </c>
      <c r="N400">
        <v>39.65</v>
      </c>
      <c r="P400">
        <v>1</v>
      </c>
      <c r="R400" t="s">
        <v>23</v>
      </c>
      <c r="S400" t="s">
        <v>24</v>
      </c>
      <c r="T400" t="s">
        <v>316</v>
      </c>
    </row>
    <row r="401" spans="1:20" x14ac:dyDescent="0.25">
      <c r="A401">
        <v>100</v>
      </c>
      <c r="B401" t="str">
        <f>HYPERLINK("https://imapinvasives.natureserve.org/imap/services/page/Presence/525438.html", "View")</f>
        <v>View</v>
      </c>
      <c r="C401">
        <v>525438</v>
      </c>
      <c r="D401">
        <v>525438</v>
      </c>
      <c r="E401" t="str">
        <f>HYPERLINK("http://imap3images.s3-website-us-east-1.amazonaws.com/525438/p/photourl1_2018_07_13_bramudrzynski_7gn850ax.jpg", "View")</f>
        <v>View</v>
      </c>
      <c r="F401" t="s">
        <v>127</v>
      </c>
      <c r="G401" t="s">
        <v>128</v>
      </c>
      <c r="H401">
        <v>61513</v>
      </c>
      <c r="I401" t="str">
        <f>HYPERLINK("https://www.inaturalist.org/taxa/61513-Adelges-tsugae", "View")</f>
        <v>View</v>
      </c>
      <c r="J401" t="s">
        <v>127</v>
      </c>
      <c r="K401" t="s">
        <v>129</v>
      </c>
      <c r="L401">
        <v>61513</v>
      </c>
      <c r="M401">
        <v>7.25</v>
      </c>
      <c r="N401">
        <v>83.26</v>
      </c>
      <c r="P401">
        <v>1</v>
      </c>
      <c r="R401" t="s">
        <v>23</v>
      </c>
      <c r="S401" t="s">
        <v>24</v>
      </c>
      <c r="T401" t="s">
        <v>316</v>
      </c>
    </row>
    <row r="402" spans="1:20" x14ac:dyDescent="0.25">
      <c r="A402">
        <v>1</v>
      </c>
      <c r="B402" t="str">
        <f>HYPERLINK("https://imapinvasives.natureserve.org/imap/services/page/Presence/1409126.html", "View")</f>
        <v>View</v>
      </c>
      <c r="C402">
        <v>1409126</v>
      </c>
      <c r="D402">
        <v>1421528</v>
      </c>
      <c r="E402" t="str">
        <f>HYPERLINK("http://imap3images.s3-website-us-east-1.amazonaws.com/1421528/p/imap_app_photo_1716561691593.jpg", "View")</f>
        <v>View</v>
      </c>
      <c r="F402" t="s">
        <v>140</v>
      </c>
      <c r="G402" t="s">
        <v>141</v>
      </c>
      <c r="H402">
        <v>914922</v>
      </c>
      <c r="I402" t="str">
        <f>HYPERLINK("https://www.inaturalist.org/taxa/914922-Reynoutria-japonica", "View")</f>
        <v>View</v>
      </c>
      <c r="J402" t="s">
        <v>142</v>
      </c>
      <c r="K402" t="s">
        <v>143</v>
      </c>
      <c r="L402">
        <v>914922</v>
      </c>
      <c r="M402">
        <v>27.05</v>
      </c>
      <c r="N402">
        <v>81</v>
      </c>
      <c r="P402">
        <v>1</v>
      </c>
      <c r="R402" t="s">
        <v>23</v>
      </c>
      <c r="S402" t="s">
        <v>24</v>
      </c>
      <c r="T402" t="s">
        <v>316</v>
      </c>
    </row>
    <row r="403" spans="1:20" x14ac:dyDescent="0.25">
      <c r="A403">
        <v>2</v>
      </c>
      <c r="B403" t="str">
        <f>HYPERLINK("https://imapinvasives.natureserve.org/imap/services/page/Presence/1304303.html", "View")</f>
        <v>View</v>
      </c>
      <c r="C403">
        <v>1304303</v>
      </c>
      <c r="D403">
        <v>1314725</v>
      </c>
      <c r="E403" t="str">
        <f>HYPERLINK("http://imap3images.s3-website-us-east-1.amazonaws.com/1314725/p/imap_app_photo_1667225301639.jpg", "View")</f>
        <v>View</v>
      </c>
      <c r="F403" t="s">
        <v>140</v>
      </c>
      <c r="G403" t="s">
        <v>141</v>
      </c>
      <c r="H403">
        <v>914922</v>
      </c>
      <c r="I403" t="str">
        <f>HYPERLINK("https://www.inaturalist.org/taxa/914922-Reynoutria-japonica", "View")</f>
        <v>View</v>
      </c>
      <c r="J403" t="s">
        <v>142</v>
      </c>
      <c r="K403" t="s">
        <v>143</v>
      </c>
      <c r="L403">
        <v>914922</v>
      </c>
      <c r="M403">
        <v>20.38</v>
      </c>
      <c r="N403">
        <v>99.57</v>
      </c>
      <c r="P403">
        <v>1</v>
      </c>
      <c r="R403" t="s">
        <v>23</v>
      </c>
      <c r="S403" t="s">
        <v>24</v>
      </c>
      <c r="T403" t="s">
        <v>316</v>
      </c>
    </row>
    <row r="404" spans="1:20" x14ac:dyDescent="0.25">
      <c r="A404">
        <v>3</v>
      </c>
      <c r="B404" t="str">
        <f>HYPERLINK("https://imapinvasives.natureserve.org/imap/services/page/Presence/1416828.html", "View")</f>
        <v>View</v>
      </c>
      <c r="C404">
        <v>1416828</v>
      </c>
      <c r="D404">
        <v>1430367</v>
      </c>
      <c r="E404" t="str">
        <f>HYPERLINK("http://imap3images.s3-website-us-east-1.amazonaws.com/1430367/p/imap_app_photo_1720399789598.jpg", "View")</f>
        <v>View</v>
      </c>
      <c r="F404" t="s">
        <v>140</v>
      </c>
      <c r="G404" t="s">
        <v>141</v>
      </c>
      <c r="H404">
        <v>914922</v>
      </c>
      <c r="I404" t="str">
        <f>HYPERLINK("https://www.inaturalist.org/taxa/914922-Reynoutria-japonica", "View")</f>
        <v>View</v>
      </c>
      <c r="J404" t="s">
        <v>142</v>
      </c>
      <c r="K404" t="s">
        <v>143</v>
      </c>
      <c r="L404">
        <v>914922</v>
      </c>
      <c r="M404">
        <v>55.39</v>
      </c>
      <c r="N404">
        <v>98.93</v>
      </c>
      <c r="P404">
        <v>1</v>
      </c>
      <c r="R404" t="s">
        <v>23</v>
      </c>
      <c r="S404" t="s">
        <v>39</v>
      </c>
      <c r="T404" t="s">
        <v>317</v>
      </c>
    </row>
    <row r="405" spans="1:20" x14ac:dyDescent="0.25">
      <c r="A405">
        <v>4</v>
      </c>
      <c r="B405" t="str">
        <f>HYPERLINK("https://imapinvasives.natureserve.org/imap/services/page/Presence/533112.html", "View")</f>
        <v>View</v>
      </c>
      <c r="C405">
        <v>533112</v>
      </c>
      <c r="D405">
        <v>533112</v>
      </c>
      <c r="E405" t="str">
        <f>HYPERLINK("http://imap3images.s3-website-us-east-1.amazonaws.com/533112/p/photourl1_2019_02_22_kevkelly_780w0n95.jpg", "View")</f>
        <v>View</v>
      </c>
      <c r="F405" t="s">
        <v>140</v>
      </c>
      <c r="G405" t="s">
        <v>141</v>
      </c>
      <c r="H405">
        <v>914922</v>
      </c>
      <c r="I405" t="str">
        <f>HYPERLINK("https://www.inaturalist.org/taxa/3936-Scolopax-minor", "View")</f>
        <v>View</v>
      </c>
      <c r="J405" t="s">
        <v>144</v>
      </c>
      <c r="K405" t="s">
        <v>145</v>
      </c>
      <c r="L405">
        <v>3936</v>
      </c>
      <c r="M405">
        <v>27.86</v>
      </c>
      <c r="N405">
        <v>25.65</v>
      </c>
      <c r="P405">
        <v>0</v>
      </c>
      <c r="R405" t="s">
        <v>29</v>
      </c>
      <c r="S405" t="s">
        <v>64</v>
      </c>
      <c r="T405" t="s">
        <v>317</v>
      </c>
    </row>
    <row r="406" spans="1:20" x14ac:dyDescent="0.25">
      <c r="A406">
        <v>5</v>
      </c>
      <c r="B406" t="str">
        <f>HYPERLINK("https://imapinvasives.natureserve.org/imap/services/page/Presence/529609.html", "View")</f>
        <v>View</v>
      </c>
      <c r="C406">
        <v>529609</v>
      </c>
      <c r="D406">
        <v>529609</v>
      </c>
      <c r="E406" t="str">
        <f>HYPERLINK("http://imap3images.s3-website-us-east-1.amazonaws.com/529609/p/photourl1_2018_08_06_krigilbert_4rc66j8s.jpg", "View")</f>
        <v>View</v>
      </c>
      <c r="F406" t="s">
        <v>140</v>
      </c>
      <c r="G406" t="s">
        <v>141</v>
      </c>
      <c r="H406">
        <v>914922</v>
      </c>
      <c r="I406" t="str">
        <f>HYPERLINK("https://www.inaturalist.org/taxa/41638-Ursus-americanus", "View")</f>
        <v>View</v>
      </c>
      <c r="J406" t="s">
        <v>146</v>
      </c>
      <c r="K406" t="s">
        <v>147</v>
      </c>
      <c r="L406">
        <v>41638</v>
      </c>
      <c r="M406">
        <v>23.22</v>
      </c>
      <c r="N406">
        <v>5.56</v>
      </c>
      <c r="P406">
        <v>0</v>
      </c>
      <c r="R406" t="s">
        <v>40</v>
      </c>
      <c r="S406" t="s">
        <v>33</v>
      </c>
      <c r="T406" t="s">
        <v>317</v>
      </c>
    </row>
    <row r="407" spans="1:20" x14ac:dyDescent="0.25">
      <c r="A407">
        <v>6</v>
      </c>
      <c r="B407" t="str">
        <f>HYPERLINK("https://imapinvasives.natureserve.org/imap/services/page/Presence/1414516.html", "View")</f>
        <v>View</v>
      </c>
      <c r="C407">
        <v>1414516</v>
      </c>
      <c r="D407">
        <v>1428047</v>
      </c>
      <c r="E407" t="str">
        <f>HYPERLINK("http://imap3images.s3-website-us-east-1.amazonaws.com/1428047/p/imap_app_photo_1720026035633.jpg", "View")</f>
        <v>View</v>
      </c>
      <c r="F407" t="s">
        <v>140</v>
      </c>
      <c r="G407" t="s">
        <v>141</v>
      </c>
      <c r="H407">
        <v>914922</v>
      </c>
      <c r="I407" t="str">
        <f>HYPERLINK("https://www.inaturalist.org/taxa/914922-Reynoutria-japonica", "View")</f>
        <v>View</v>
      </c>
      <c r="J407" t="s">
        <v>142</v>
      </c>
      <c r="K407" t="s">
        <v>143</v>
      </c>
      <c r="L407">
        <v>914922</v>
      </c>
      <c r="M407">
        <v>19.75</v>
      </c>
      <c r="N407">
        <v>87.58</v>
      </c>
      <c r="P407">
        <v>1</v>
      </c>
      <c r="R407" t="s">
        <v>23</v>
      </c>
      <c r="S407" t="s">
        <v>24</v>
      </c>
      <c r="T407" t="s">
        <v>316</v>
      </c>
    </row>
    <row r="408" spans="1:20" x14ac:dyDescent="0.25">
      <c r="A408">
        <v>7</v>
      </c>
      <c r="B408" t="str">
        <f>HYPERLINK("https://imapinvasives.natureserve.org/imap/services/page/Presence/1409168.html", "View")</f>
        <v>View</v>
      </c>
      <c r="C408">
        <v>1409168</v>
      </c>
      <c r="D408">
        <v>1421571</v>
      </c>
      <c r="E408" t="str">
        <f>HYPERLINK("http://imap3images.s3-website-us-east-1.amazonaws.com/1421571/p/imap_app_photo_1716852135987.jpg", "View")</f>
        <v>View</v>
      </c>
      <c r="F408" t="s">
        <v>140</v>
      </c>
      <c r="G408" t="s">
        <v>141</v>
      </c>
      <c r="H408">
        <v>914922</v>
      </c>
      <c r="I408" t="str">
        <f>HYPERLINK("https://www.inaturalist.org/taxa/914922-Reynoutria-japonica", "View")</f>
        <v>View</v>
      </c>
      <c r="J408" t="s">
        <v>142</v>
      </c>
      <c r="K408" t="s">
        <v>143</v>
      </c>
      <c r="L408">
        <v>914922</v>
      </c>
      <c r="M408">
        <v>42.62</v>
      </c>
      <c r="N408">
        <v>88.96</v>
      </c>
      <c r="P408">
        <v>1</v>
      </c>
      <c r="R408" t="s">
        <v>23</v>
      </c>
      <c r="S408" t="s">
        <v>24</v>
      </c>
      <c r="T408" t="s">
        <v>316</v>
      </c>
    </row>
    <row r="409" spans="1:20" x14ac:dyDescent="0.25">
      <c r="A409">
        <v>8</v>
      </c>
      <c r="B409" t="str">
        <f>HYPERLINK("https://imapinvasives.natureserve.org/imap/services/page/Presence/1410778.html", "View")</f>
        <v>View</v>
      </c>
      <c r="C409">
        <v>1410778</v>
      </c>
      <c r="D409">
        <v>1423318</v>
      </c>
      <c r="E409" t="str">
        <f>HYPERLINK("http://imap3images.s3-website-us-east-1.amazonaws.com/1423318/p/IMG_1881.jpeg", "View")</f>
        <v>View</v>
      </c>
      <c r="F409" t="s">
        <v>140</v>
      </c>
      <c r="G409" t="s">
        <v>141</v>
      </c>
      <c r="H409">
        <v>914922</v>
      </c>
      <c r="I409" t="str">
        <f>HYPERLINK("https://www.inaturalist.org/taxa/914922-Reynoutria-japonica", "View")</f>
        <v>View</v>
      </c>
      <c r="J409" t="s">
        <v>142</v>
      </c>
      <c r="K409" t="s">
        <v>143</v>
      </c>
      <c r="L409">
        <v>914922</v>
      </c>
      <c r="M409">
        <v>38.08</v>
      </c>
      <c r="N409">
        <v>99.56</v>
      </c>
      <c r="P409">
        <v>1</v>
      </c>
      <c r="R409" t="s">
        <v>23</v>
      </c>
      <c r="S409" t="s">
        <v>39</v>
      </c>
      <c r="T409" t="s">
        <v>317</v>
      </c>
    </row>
    <row r="410" spans="1:20" x14ac:dyDescent="0.25">
      <c r="A410">
        <v>9</v>
      </c>
      <c r="B410" t="str">
        <f>HYPERLINK("https://imapinvasives.natureserve.org/imap/services/page/Presence/1291726.html", "View")</f>
        <v>View</v>
      </c>
      <c r="C410">
        <v>1291726</v>
      </c>
      <c r="D410">
        <v>1301930</v>
      </c>
      <c r="E410" t="str">
        <f>HYPERLINK("http://imap3images.s3-website-us-east-1.amazonaws.com/1301930/p/imap_app_photo_1662745040503.jpg", "View")</f>
        <v>View</v>
      </c>
      <c r="F410" t="s">
        <v>140</v>
      </c>
      <c r="G410" t="s">
        <v>141</v>
      </c>
      <c r="H410">
        <v>914922</v>
      </c>
      <c r="I410" t="str">
        <f>HYPERLINK("https://www.inaturalist.org/taxa/914922-Reynoutria-japonica", "View")</f>
        <v>View</v>
      </c>
      <c r="J410" t="s">
        <v>142</v>
      </c>
      <c r="K410" t="s">
        <v>143</v>
      </c>
      <c r="L410">
        <v>914922</v>
      </c>
      <c r="M410">
        <v>31.87</v>
      </c>
      <c r="N410">
        <v>8.18</v>
      </c>
      <c r="P410">
        <v>1</v>
      </c>
      <c r="R410" t="s">
        <v>23</v>
      </c>
      <c r="S410" t="s">
        <v>24</v>
      </c>
      <c r="T410" t="s">
        <v>316</v>
      </c>
    </row>
    <row r="411" spans="1:20" x14ac:dyDescent="0.25">
      <c r="A411">
        <v>10</v>
      </c>
      <c r="B411" t="str">
        <f>HYPERLINK("https://imapinvasives.natureserve.org/imap/services/page/Presence/1165609.html", "View")</f>
        <v>View</v>
      </c>
      <c r="C411">
        <v>1165609</v>
      </c>
      <c r="D411">
        <v>1172874</v>
      </c>
      <c r="E411" t="str">
        <f>HYPERLINK("http://imap3images.s3-website-us-east-1.amazonaws.com/1172874/p/imap_app_photo_1632952409855.jpg", "View")</f>
        <v>View</v>
      </c>
      <c r="F411" t="s">
        <v>140</v>
      </c>
      <c r="G411" t="s">
        <v>141</v>
      </c>
      <c r="H411">
        <v>914922</v>
      </c>
      <c r="I411" t="str">
        <f>HYPERLINK("https://www.inaturalist.org/taxa/914922-Reynoutria-japonica", "View")</f>
        <v>View</v>
      </c>
      <c r="J411" t="s">
        <v>142</v>
      </c>
      <c r="K411" t="s">
        <v>143</v>
      </c>
      <c r="L411">
        <v>914922</v>
      </c>
      <c r="M411">
        <v>19.75</v>
      </c>
      <c r="N411">
        <v>97.57</v>
      </c>
      <c r="P411">
        <v>1</v>
      </c>
      <c r="R411" t="s">
        <v>23</v>
      </c>
      <c r="S411" t="s">
        <v>24</v>
      </c>
      <c r="T411" t="s">
        <v>316</v>
      </c>
    </row>
    <row r="412" spans="1:20" x14ac:dyDescent="0.25">
      <c r="A412">
        <v>11</v>
      </c>
      <c r="B412" t="str">
        <f>HYPERLINK("https://imapinvasives.natureserve.org/imap/services/page/Presence/1131020.html", "View")</f>
        <v>View</v>
      </c>
      <c r="C412">
        <v>1131020</v>
      </c>
      <c r="D412">
        <v>1137183</v>
      </c>
      <c r="E412" t="str">
        <f>HYPERLINK("http://imap3images.s3-website-us-east-1.amazonaws.com/1137183/p/IMG_20201127_141636.jpg", "View")</f>
        <v>View</v>
      </c>
      <c r="F412" t="s">
        <v>140</v>
      </c>
      <c r="G412" t="s">
        <v>141</v>
      </c>
      <c r="H412">
        <v>914922</v>
      </c>
      <c r="I412" t="str">
        <f>HYPERLINK("https://www.inaturalist.org/taxa/559597-Asparagus-verticillatus", "View")</f>
        <v>View</v>
      </c>
      <c r="J412" t="s">
        <v>148</v>
      </c>
      <c r="K412" t="s">
        <v>149</v>
      </c>
      <c r="L412">
        <v>559597</v>
      </c>
      <c r="M412">
        <v>0</v>
      </c>
      <c r="N412">
        <v>2.29</v>
      </c>
      <c r="P412">
        <v>0</v>
      </c>
      <c r="R412" t="s">
        <v>40</v>
      </c>
      <c r="S412" t="s">
        <v>64</v>
      </c>
      <c r="T412" t="s">
        <v>317</v>
      </c>
    </row>
    <row r="413" spans="1:20" x14ac:dyDescent="0.25">
      <c r="A413">
        <v>12</v>
      </c>
      <c r="B413" t="str">
        <f>HYPERLINK("https://imapinvasives.natureserve.org/imap/services/page/Presence/1164286.html", "View")</f>
        <v>View</v>
      </c>
      <c r="C413">
        <v>1164286</v>
      </c>
      <c r="D413">
        <v>1171517</v>
      </c>
      <c r="E413" t="str">
        <f>HYPERLINK("http://imap3images.s3-website-us-east-1.amazonaws.com/1171517/p/imap_app_photo_1632236874525.jpg", "View")</f>
        <v>View</v>
      </c>
      <c r="F413" t="s">
        <v>140</v>
      </c>
      <c r="G413" t="s">
        <v>141</v>
      </c>
      <c r="H413">
        <v>914922</v>
      </c>
      <c r="I413" t="str">
        <f t="shared" ref="I413:I422" si="17">HYPERLINK("https://www.inaturalist.org/taxa/914922-Reynoutria-japonica", "View")</f>
        <v>View</v>
      </c>
      <c r="J413" t="s">
        <v>142</v>
      </c>
      <c r="K413" t="s">
        <v>143</v>
      </c>
      <c r="L413">
        <v>914922</v>
      </c>
      <c r="M413">
        <v>20.27</v>
      </c>
      <c r="N413">
        <v>38.729999999999997</v>
      </c>
      <c r="P413">
        <v>1</v>
      </c>
      <c r="R413" t="s">
        <v>23</v>
      </c>
      <c r="S413" t="s">
        <v>24</v>
      </c>
      <c r="T413" t="s">
        <v>316</v>
      </c>
    </row>
    <row r="414" spans="1:20" x14ac:dyDescent="0.25">
      <c r="A414">
        <v>13</v>
      </c>
      <c r="B414" t="str">
        <f>HYPERLINK("https://imapinvasives.natureserve.org/imap/services/page/Presence/1409443.html", "View")</f>
        <v>View</v>
      </c>
      <c r="C414">
        <v>1409443</v>
      </c>
      <c r="D414">
        <v>1421863</v>
      </c>
      <c r="E414" t="str">
        <f>HYPERLINK("http://imap3images.s3-website-us-east-1.amazonaws.com/1421863/p/imap_app_photo_1717087248590.jpg", "View")</f>
        <v>View</v>
      </c>
      <c r="F414" t="s">
        <v>140</v>
      </c>
      <c r="G414" t="s">
        <v>141</v>
      </c>
      <c r="H414">
        <v>914922</v>
      </c>
      <c r="I414" t="str">
        <f t="shared" si="17"/>
        <v>View</v>
      </c>
      <c r="J414" t="s">
        <v>142</v>
      </c>
      <c r="K414" t="s">
        <v>143</v>
      </c>
      <c r="L414">
        <v>914922</v>
      </c>
      <c r="M414">
        <v>12.35</v>
      </c>
      <c r="N414">
        <v>11.67</v>
      </c>
      <c r="P414">
        <v>1</v>
      </c>
      <c r="R414" t="s">
        <v>23</v>
      </c>
      <c r="S414" t="s">
        <v>24</v>
      </c>
      <c r="T414" t="s">
        <v>316</v>
      </c>
    </row>
    <row r="415" spans="1:20" x14ac:dyDescent="0.25">
      <c r="A415">
        <v>14</v>
      </c>
      <c r="B415" t="str">
        <f>HYPERLINK("https://imapinvasives.natureserve.org/imap/services/page/Presence/1414497.html", "View")</f>
        <v>View</v>
      </c>
      <c r="C415">
        <v>1414497</v>
      </c>
      <c r="D415">
        <v>1428028</v>
      </c>
      <c r="E415" t="str">
        <f>HYPERLINK("http://imap3images.s3-website-us-east-1.amazonaws.com/1428028/p/imap_app_photo_1720025956150.jpg", "View")</f>
        <v>View</v>
      </c>
      <c r="F415" t="s">
        <v>140</v>
      </c>
      <c r="G415" t="s">
        <v>141</v>
      </c>
      <c r="H415">
        <v>914922</v>
      </c>
      <c r="I415" t="str">
        <f t="shared" si="17"/>
        <v>View</v>
      </c>
      <c r="J415" t="s">
        <v>142</v>
      </c>
      <c r="K415" t="s">
        <v>143</v>
      </c>
      <c r="L415">
        <v>914922</v>
      </c>
      <c r="M415">
        <v>19.75</v>
      </c>
      <c r="N415">
        <v>95.66</v>
      </c>
      <c r="P415">
        <v>1</v>
      </c>
      <c r="R415" t="s">
        <v>23</v>
      </c>
      <c r="S415" t="s">
        <v>24</v>
      </c>
      <c r="T415" t="s">
        <v>316</v>
      </c>
    </row>
    <row r="416" spans="1:20" x14ac:dyDescent="0.25">
      <c r="A416">
        <v>15</v>
      </c>
      <c r="B416" t="str">
        <f>HYPERLINK("https://imapinvasives.natureserve.org/imap/services/page/Presence/1442711.html", "View")</f>
        <v>View</v>
      </c>
      <c r="C416">
        <v>1442711</v>
      </c>
      <c r="D416">
        <v>1457286</v>
      </c>
      <c r="E416" t="str">
        <f>HYPERLINK("http://imap3images.s3-website-us-east-1.amazonaws.com/1457286/p/imap_app_photo_1724778360638.jpg", "View")</f>
        <v>View</v>
      </c>
      <c r="F416" t="s">
        <v>140</v>
      </c>
      <c r="G416" t="s">
        <v>141</v>
      </c>
      <c r="H416">
        <v>914922</v>
      </c>
      <c r="I416" t="str">
        <f t="shared" si="17"/>
        <v>View</v>
      </c>
      <c r="J416" t="s">
        <v>142</v>
      </c>
      <c r="K416" t="s">
        <v>143</v>
      </c>
      <c r="L416">
        <v>914922</v>
      </c>
      <c r="M416">
        <v>61.85</v>
      </c>
      <c r="N416">
        <v>96.19</v>
      </c>
      <c r="P416">
        <v>1</v>
      </c>
      <c r="R416" t="s">
        <v>23</v>
      </c>
      <c r="S416" t="s">
        <v>24</v>
      </c>
      <c r="T416" t="s">
        <v>316</v>
      </c>
    </row>
    <row r="417" spans="1:20" x14ac:dyDescent="0.25">
      <c r="A417">
        <v>16</v>
      </c>
      <c r="B417" t="str">
        <f>HYPERLINK("https://imapinvasives.natureserve.org/imap/services/page/Presence/1152845.html", "View")</f>
        <v>View</v>
      </c>
      <c r="C417">
        <v>1152845</v>
      </c>
      <c r="D417">
        <v>1159793</v>
      </c>
      <c r="E417" t="str">
        <f>HYPERLINK("http://imap3images.s3-website-us-east-1.amazonaws.com/1159793/p/imap_app_photo_1627382254236.jpg", "View")</f>
        <v>View</v>
      </c>
      <c r="F417" t="s">
        <v>140</v>
      </c>
      <c r="G417" t="s">
        <v>141</v>
      </c>
      <c r="H417">
        <v>914922</v>
      </c>
      <c r="I417" t="str">
        <f t="shared" si="17"/>
        <v>View</v>
      </c>
      <c r="J417" t="s">
        <v>142</v>
      </c>
      <c r="K417" t="s">
        <v>143</v>
      </c>
      <c r="L417">
        <v>914922</v>
      </c>
      <c r="M417">
        <v>29.26</v>
      </c>
      <c r="N417">
        <v>63.73</v>
      </c>
      <c r="P417">
        <v>1</v>
      </c>
      <c r="R417" t="s">
        <v>23</v>
      </c>
      <c r="S417" t="s">
        <v>33</v>
      </c>
      <c r="T417" t="s">
        <v>317</v>
      </c>
    </row>
    <row r="418" spans="1:20" x14ac:dyDescent="0.25">
      <c r="A418">
        <v>17</v>
      </c>
      <c r="B418" t="str">
        <f>HYPERLINK("https://imapinvasives.natureserve.org/imap/services/page/Presence/1408839.html", "View")</f>
        <v>View</v>
      </c>
      <c r="C418">
        <v>1408839</v>
      </c>
      <c r="D418">
        <v>1421238</v>
      </c>
      <c r="E418" t="str">
        <f>HYPERLINK("http://imap3images.s3-website-us-east-1.amazonaws.com/1421238/p/imap_app_photo_1716373576389.jpg", "View")</f>
        <v>View</v>
      </c>
      <c r="F418" t="s">
        <v>140</v>
      </c>
      <c r="G418" t="s">
        <v>141</v>
      </c>
      <c r="H418">
        <v>914922</v>
      </c>
      <c r="I418" t="str">
        <f t="shared" si="17"/>
        <v>View</v>
      </c>
      <c r="J418" t="s">
        <v>142</v>
      </c>
      <c r="K418" t="s">
        <v>143</v>
      </c>
      <c r="L418">
        <v>914922</v>
      </c>
      <c r="M418">
        <v>16.29</v>
      </c>
      <c r="N418">
        <v>53.5</v>
      </c>
      <c r="P418">
        <v>1</v>
      </c>
      <c r="R418" t="s">
        <v>23</v>
      </c>
      <c r="S418" t="s">
        <v>39</v>
      </c>
      <c r="T418" t="s">
        <v>317</v>
      </c>
    </row>
    <row r="419" spans="1:20" x14ac:dyDescent="0.25">
      <c r="A419">
        <v>18</v>
      </c>
      <c r="B419" t="str">
        <f>HYPERLINK("https://imapinvasives.natureserve.org/imap/services/page/Presence/1273613.html", "View")</f>
        <v>View</v>
      </c>
      <c r="C419">
        <v>1273613</v>
      </c>
      <c r="D419">
        <v>1282803</v>
      </c>
      <c r="E419" t="str">
        <f>HYPERLINK("http://imap3images.s3-website-us-east-1.amazonaws.com/1282803/p/imap_app_photo_1654376082810.jpg", "View")</f>
        <v>View</v>
      </c>
      <c r="F419" t="s">
        <v>140</v>
      </c>
      <c r="G419" t="s">
        <v>141</v>
      </c>
      <c r="H419">
        <v>914922</v>
      </c>
      <c r="I419" t="str">
        <f t="shared" si="17"/>
        <v>View</v>
      </c>
      <c r="J419" t="s">
        <v>142</v>
      </c>
      <c r="K419" t="s">
        <v>143</v>
      </c>
      <c r="L419">
        <v>914922</v>
      </c>
      <c r="M419">
        <v>31.38</v>
      </c>
      <c r="N419">
        <v>99.08</v>
      </c>
      <c r="P419">
        <v>1</v>
      </c>
      <c r="R419" t="s">
        <v>23</v>
      </c>
      <c r="S419" t="s">
        <v>24</v>
      </c>
      <c r="T419" t="s">
        <v>316</v>
      </c>
    </row>
    <row r="420" spans="1:20" x14ac:dyDescent="0.25">
      <c r="A420">
        <v>19</v>
      </c>
      <c r="B420" t="str">
        <f>HYPERLINK("https://imapinvasives.natureserve.org/imap/services/page/Presence/1414517.html", "View")</f>
        <v>View</v>
      </c>
      <c r="C420">
        <v>1414517</v>
      </c>
      <c r="D420">
        <v>1428048</v>
      </c>
      <c r="E420" t="str">
        <f>HYPERLINK("http://imap3images.s3-website-us-east-1.amazonaws.com/1428048/p/imap_app_photo_1720026039670.jpg", "View")</f>
        <v>View</v>
      </c>
      <c r="F420" t="s">
        <v>140</v>
      </c>
      <c r="G420" t="s">
        <v>141</v>
      </c>
      <c r="H420">
        <v>914922</v>
      </c>
      <c r="I420" t="str">
        <f t="shared" si="17"/>
        <v>View</v>
      </c>
      <c r="J420" t="s">
        <v>142</v>
      </c>
      <c r="K420" t="s">
        <v>143</v>
      </c>
      <c r="L420">
        <v>914922</v>
      </c>
      <c r="M420">
        <v>19.75</v>
      </c>
      <c r="N420">
        <v>81.760000000000005</v>
      </c>
      <c r="P420">
        <v>1</v>
      </c>
      <c r="R420" t="s">
        <v>23</v>
      </c>
      <c r="S420" t="s">
        <v>39</v>
      </c>
      <c r="T420" t="s">
        <v>317</v>
      </c>
    </row>
    <row r="421" spans="1:20" x14ac:dyDescent="0.25">
      <c r="A421">
        <v>20</v>
      </c>
      <c r="B421" t="str">
        <f>HYPERLINK("https://imapinvasives.natureserve.org/imap/services/page/Presence/1411895.html", "View")</f>
        <v>View</v>
      </c>
      <c r="C421">
        <v>1411895</v>
      </c>
      <c r="D421">
        <v>1424571</v>
      </c>
      <c r="E421" t="str">
        <f>HYPERLINK("http://imap3images.s3-website-us-east-1.amazonaws.com/1424571/p/IMG_0442.jpeg", "View")</f>
        <v>View</v>
      </c>
      <c r="F421" t="s">
        <v>140</v>
      </c>
      <c r="G421" t="s">
        <v>141</v>
      </c>
      <c r="H421">
        <v>914922</v>
      </c>
      <c r="I421" t="str">
        <f t="shared" si="17"/>
        <v>View</v>
      </c>
      <c r="J421" t="s">
        <v>142</v>
      </c>
      <c r="K421" t="s">
        <v>143</v>
      </c>
      <c r="L421">
        <v>914922</v>
      </c>
      <c r="M421">
        <v>18.25</v>
      </c>
      <c r="N421">
        <v>98.43</v>
      </c>
      <c r="P421">
        <v>1</v>
      </c>
      <c r="R421" t="s">
        <v>23</v>
      </c>
      <c r="S421" t="s">
        <v>24</v>
      </c>
      <c r="T421" t="s">
        <v>316</v>
      </c>
    </row>
    <row r="422" spans="1:20" x14ac:dyDescent="0.25">
      <c r="A422">
        <v>21</v>
      </c>
      <c r="B422" t="str">
        <f>HYPERLINK("https://imapinvasives.natureserve.org/imap/services/page/Presence/1327742.html", "View")</f>
        <v>View</v>
      </c>
      <c r="C422">
        <v>1327742</v>
      </c>
      <c r="D422">
        <v>1340724</v>
      </c>
      <c r="E422" t="str">
        <f>HYPERLINK("http://imap3images.s3-website-us-east-1.amazonaws.com/1340724/p/imap_app_photo_1683153755525.jpg", "View")</f>
        <v>View</v>
      </c>
      <c r="F422" t="s">
        <v>140</v>
      </c>
      <c r="G422" t="s">
        <v>141</v>
      </c>
      <c r="H422">
        <v>914922</v>
      </c>
      <c r="I422" t="str">
        <f t="shared" si="17"/>
        <v>View</v>
      </c>
      <c r="J422" t="s">
        <v>142</v>
      </c>
      <c r="K422" t="s">
        <v>143</v>
      </c>
      <c r="L422">
        <v>914922</v>
      </c>
      <c r="M422">
        <v>55.39</v>
      </c>
      <c r="N422">
        <v>99.47</v>
      </c>
      <c r="P422">
        <v>1</v>
      </c>
      <c r="R422" t="s">
        <v>23</v>
      </c>
      <c r="S422" t="s">
        <v>24</v>
      </c>
      <c r="T422" t="s">
        <v>316</v>
      </c>
    </row>
    <row r="423" spans="1:20" x14ac:dyDescent="0.25">
      <c r="A423">
        <v>22</v>
      </c>
      <c r="B423" t="str">
        <f>HYPERLINK("https://imapinvasives.natureserve.org/imap/services/page/Presence/1299040.html", "View")</f>
        <v>View</v>
      </c>
      <c r="C423">
        <v>1299040</v>
      </c>
      <c r="D423">
        <v>1309374</v>
      </c>
      <c r="E423" t="str">
        <f>HYPERLINK("http://imap3images.s3-website-us-east-1.amazonaws.com/1309374/p/imap_app_photo_1666031021456.jpg", "View")</f>
        <v>View</v>
      </c>
      <c r="F423" t="s">
        <v>140</v>
      </c>
      <c r="G423" t="s">
        <v>141</v>
      </c>
      <c r="H423">
        <v>914922</v>
      </c>
      <c r="I423" t="str">
        <f>HYPERLINK("https://www.inaturalist.org/taxa/117429-Betula-nigra", "View")</f>
        <v>View</v>
      </c>
      <c r="J423" t="s">
        <v>150</v>
      </c>
      <c r="K423" t="s">
        <v>151</v>
      </c>
      <c r="L423">
        <v>117429</v>
      </c>
      <c r="M423">
        <v>5.19</v>
      </c>
      <c r="N423">
        <v>25.01</v>
      </c>
      <c r="P423">
        <v>0</v>
      </c>
      <c r="R423" t="s">
        <v>29</v>
      </c>
      <c r="S423" t="s">
        <v>24</v>
      </c>
      <c r="T423" t="s">
        <v>316</v>
      </c>
    </row>
    <row r="424" spans="1:20" x14ac:dyDescent="0.25">
      <c r="A424">
        <v>23</v>
      </c>
      <c r="B424" t="str">
        <f>HYPERLINK("https://imapinvasives.natureserve.org/imap/services/page/Presence/1443657.html", "View")</f>
        <v>View</v>
      </c>
      <c r="C424">
        <v>1443657</v>
      </c>
      <c r="D424">
        <v>1458290</v>
      </c>
      <c r="E424" t="str">
        <f>HYPERLINK("http://imap3images.s3-website-us-east-1.amazonaws.com/1458290/p/imap_app_photo_1725227033220.jpg", "View")</f>
        <v>View</v>
      </c>
      <c r="F424" t="s">
        <v>140</v>
      </c>
      <c r="G424" t="s">
        <v>141</v>
      </c>
      <c r="H424">
        <v>914922</v>
      </c>
      <c r="I424" t="str">
        <f>HYPERLINK("https://www.inaturalist.org/taxa/914922-Reynoutria-japonica", "View")</f>
        <v>View</v>
      </c>
      <c r="J424" t="s">
        <v>142</v>
      </c>
      <c r="K424" t="s">
        <v>143</v>
      </c>
      <c r="L424">
        <v>914922</v>
      </c>
      <c r="M424">
        <v>12.25</v>
      </c>
      <c r="N424">
        <v>99.26</v>
      </c>
      <c r="P424">
        <v>1</v>
      </c>
      <c r="R424" t="s">
        <v>23</v>
      </c>
      <c r="S424" t="s">
        <v>24</v>
      </c>
      <c r="T424" t="s">
        <v>316</v>
      </c>
    </row>
    <row r="425" spans="1:20" x14ac:dyDescent="0.25">
      <c r="A425">
        <v>24</v>
      </c>
      <c r="B425" t="str">
        <f>HYPERLINK("https://imapinvasives.natureserve.org/imap/services/page/Presence/1272967.html", "View")</f>
        <v>View</v>
      </c>
      <c r="C425">
        <v>1272967</v>
      </c>
      <c r="D425">
        <v>1282100</v>
      </c>
      <c r="E425" t="str">
        <f>HYPERLINK("http://imap3images.s3-website-us-east-1.amazonaws.com/1282100/p/imap_app_photo_1653589044499.jpg", "View")</f>
        <v>View</v>
      </c>
      <c r="F425" t="s">
        <v>140</v>
      </c>
      <c r="G425" t="s">
        <v>141</v>
      </c>
      <c r="H425">
        <v>914922</v>
      </c>
      <c r="I425" t="str">
        <f>HYPERLINK("https://www.inaturalist.org/taxa/914922-Reynoutria-japonica", "View")</f>
        <v>View</v>
      </c>
      <c r="J425" t="s">
        <v>142</v>
      </c>
      <c r="K425" t="s">
        <v>143</v>
      </c>
      <c r="L425">
        <v>914922</v>
      </c>
      <c r="M425">
        <v>55.39</v>
      </c>
      <c r="N425">
        <v>99.32</v>
      </c>
      <c r="P425">
        <v>1</v>
      </c>
      <c r="R425" t="s">
        <v>23</v>
      </c>
      <c r="S425" t="s">
        <v>24</v>
      </c>
      <c r="T425" t="s">
        <v>316</v>
      </c>
    </row>
    <row r="426" spans="1:20" x14ac:dyDescent="0.25">
      <c r="A426">
        <v>25</v>
      </c>
      <c r="B426" t="str">
        <f>HYPERLINK("https://imapinvasives.natureserve.org/imap/services/page/Presence/1271681.html", "View")</f>
        <v>View</v>
      </c>
      <c r="C426">
        <v>1271681</v>
      </c>
      <c r="D426">
        <v>1280651</v>
      </c>
      <c r="E426" t="str">
        <f>HYPERLINK("http://imap3images.s3-website-us-east-1.amazonaws.com/1280651/p/052B3423-D408-4BCE-9209-3F4B0A4108D2.jpeg", "View")</f>
        <v>View</v>
      </c>
      <c r="F426" t="s">
        <v>140</v>
      </c>
      <c r="G426" t="s">
        <v>141</v>
      </c>
      <c r="H426">
        <v>914922</v>
      </c>
      <c r="I426" t="str">
        <f>HYPERLINK("https://www.inaturalist.org/taxa/48098-Acer-rubrum", "View")</f>
        <v>View</v>
      </c>
      <c r="J426" t="s">
        <v>152</v>
      </c>
      <c r="K426" t="s">
        <v>153</v>
      </c>
      <c r="L426">
        <v>48098</v>
      </c>
      <c r="M426">
        <v>52.16</v>
      </c>
      <c r="N426">
        <v>33.799999999999997</v>
      </c>
      <c r="P426">
        <v>0</v>
      </c>
      <c r="R426" t="s">
        <v>40</v>
      </c>
      <c r="S426" t="s">
        <v>39</v>
      </c>
      <c r="T426" t="s">
        <v>317</v>
      </c>
    </row>
    <row r="427" spans="1:20" x14ac:dyDescent="0.25">
      <c r="A427">
        <v>26</v>
      </c>
      <c r="B427" t="str">
        <f>HYPERLINK("https://imapinvasives.natureserve.org/imap/services/page/Presence/1337495.html", "View")</f>
        <v>View</v>
      </c>
      <c r="C427">
        <v>1337495</v>
      </c>
      <c r="D427">
        <v>1352027</v>
      </c>
      <c r="E427" t="str">
        <f>HYPERLINK("http://imap3images.s3-website-us-east-1.amazonaws.com/1352027/p/PXL_20230625_220441946.jpg", "View")</f>
        <v>View</v>
      </c>
      <c r="F427" t="s">
        <v>140</v>
      </c>
      <c r="G427" t="s">
        <v>141</v>
      </c>
      <c r="H427">
        <v>914922</v>
      </c>
      <c r="I427" t="str">
        <f>HYPERLINK("https://www.inaturalist.org/taxa/914922-Reynoutria-japonica", "View")</f>
        <v>View</v>
      </c>
      <c r="J427" t="s">
        <v>142</v>
      </c>
      <c r="K427" t="s">
        <v>143</v>
      </c>
      <c r="L427">
        <v>914922</v>
      </c>
      <c r="M427">
        <v>79.8</v>
      </c>
      <c r="N427">
        <v>78.12</v>
      </c>
      <c r="P427">
        <v>1</v>
      </c>
      <c r="R427" t="s">
        <v>23</v>
      </c>
      <c r="S427" t="s">
        <v>24</v>
      </c>
      <c r="T427" t="s">
        <v>316</v>
      </c>
    </row>
    <row r="428" spans="1:20" x14ac:dyDescent="0.25">
      <c r="A428">
        <v>27</v>
      </c>
      <c r="B428" t="str">
        <f>HYPERLINK("https://imapinvasives.natureserve.org/imap/services/page/Presence/1148534.html", "View")</f>
        <v>View</v>
      </c>
      <c r="C428">
        <v>1148534</v>
      </c>
      <c r="D428">
        <v>1155289</v>
      </c>
      <c r="E428" t="str">
        <f>HYPERLINK("http://imap3images.s3-website-us-east-1.amazonaws.com/1155289/p/119.JPG", "View")</f>
        <v>View</v>
      </c>
      <c r="F428" t="s">
        <v>140</v>
      </c>
      <c r="G428" t="s">
        <v>141</v>
      </c>
      <c r="H428">
        <v>914922</v>
      </c>
      <c r="I428" t="str">
        <f>HYPERLINK("https://www.inaturalist.org/taxa/914922-Reynoutria-japonica", "View")</f>
        <v>View</v>
      </c>
      <c r="J428" t="s">
        <v>142</v>
      </c>
      <c r="K428" t="s">
        <v>143</v>
      </c>
      <c r="L428">
        <v>914922</v>
      </c>
      <c r="M428">
        <v>16.29</v>
      </c>
      <c r="N428">
        <v>98.5</v>
      </c>
      <c r="P428">
        <v>1</v>
      </c>
      <c r="R428" t="s">
        <v>23</v>
      </c>
      <c r="S428" t="s">
        <v>24</v>
      </c>
      <c r="T428" t="s">
        <v>316</v>
      </c>
    </row>
    <row r="429" spans="1:20" x14ac:dyDescent="0.25">
      <c r="A429">
        <v>28</v>
      </c>
      <c r="B429" t="str">
        <f>HYPERLINK("https://imapinvasives.natureserve.org/imap/services/page/Presence/510792.html", "View")</f>
        <v>View</v>
      </c>
      <c r="C429">
        <v>510792</v>
      </c>
      <c r="D429">
        <v>510792</v>
      </c>
      <c r="E429" t="str">
        <f>HYPERLINK("http://imap3images.s3-website-us-east-1.amazonaws.com/510792/p/photourl1_2017_05_01_ambrudolph_arscf04t.jpg", "View")</f>
        <v>View</v>
      </c>
      <c r="F429" t="s">
        <v>140</v>
      </c>
      <c r="G429" t="s">
        <v>141</v>
      </c>
      <c r="H429">
        <v>914922</v>
      </c>
      <c r="I429" t="str">
        <f>HYPERLINK("https://www.inaturalist.org/taxa/166162-Parthenocissus-tricuspidata", "View")</f>
        <v>View</v>
      </c>
      <c r="J429" t="s">
        <v>154</v>
      </c>
      <c r="K429" t="s">
        <v>155</v>
      </c>
      <c r="L429">
        <v>166162</v>
      </c>
      <c r="M429">
        <v>3.04</v>
      </c>
      <c r="N429">
        <v>4.26</v>
      </c>
      <c r="P429">
        <v>0</v>
      </c>
      <c r="R429" t="s">
        <v>23</v>
      </c>
      <c r="S429" t="s">
        <v>64</v>
      </c>
      <c r="T429" t="s">
        <v>317</v>
      </c>
    </row>
    <row r="430" spans="1:20" x14ac:dyDescent="0.25">
      <c r="A430">
        <v>29</v>
      </c>
      <c r="B430" t="str">
        <f>HYPERLINK("https://imapinvasives.natureserve.org/imap/services/page/Presence/1164965.html", "View")</f>
        <v>View</v>
      </c>
      <c r="C430">
        <v>1164965</v>
      </c>
      <c r="D430">
        <v>1172222</v>
      </c>
      <c r="E430" t="str">
        <f>HYPERLINK("http://imap3images.s3-website-us-east-1.amazonaws.com/1172222/p/japbam1.jpg", "View")</f>
        <v>View</v>
      </c>
      <c r="F430" t="s">
        <v>140</v>
      </c>
      <c r="G430" t="s">
        <v>141</v>
      </c>
      <c r="H430">
        <v>914922</v>
      </c>
      <c r="I430" t="str">
        <f>HYPERLINK("https://www.inaturalist.org/taxa/914922-Reynoutria-japonica", "View")</f>
        <v>View</v>
      </c>
      <c r="J430" t="s">
        <v>142</v>
      </c>
      <c r="K430" t="s">
        <v>143</v>
      </c>
      <c r="L430">
        <v>914922</v>
      </c>
      <c r="M430">
        <v>11.1</v>
      </c>
      <c r="N430">
        <v>47.67</v>
      </c>
      <c r="P430">
        <v>1</v>
      </c>
      <c r="R430" t="s">
        <v>23</v>
      </c>
      <c r="S430" t="s">
        <v>39</v>
      </c>
      <c r="T430" t="s">
        <v>317</v>
      </c>
    </row>
    <row r="431" spans="1:20" x14ac:dyDescent="0.25">
      <c r="A431">
        <v>30</v>
      </c>
      <c r="B431" t="str">
        <f>HYPERLINK("https://imapinvasives.natureserve.org/imap/services/page/Presence/1179962.html", "View")</f>
        <v>View</v>
      </c>
      <c r="C431">
        <v>1179962</v>
      </c>
      <c r="D431">
        <v>1187806</v>
      </c>
      <c r="E431" t="str">
        <f>HYPERLINK("http://imap3images.s3-website-us-east-1.amazonaws.com/1187806/p/imap_app_photo_1636125134792.jpg", "View")</f>
        <v>View</v>
      </c>
      <c r="F431" t="s">
        <v>140</v>
      </c>
      <c r="G431" t="s">
        <v>141</v>
      </c>
      <c r="H431">
        <v>914922</v>
      </c>
      <c r="I431" t="str">
        <f>HYPERLINK("https://www.inaturalist.org/taxa/914922-Reynoutria-japonica", "View")</f>
        <v>View</v>
      </c>
      <c r="J431" t="s">
        <v>142</v>
      </c>
      <c r="K431" t="s">
        <v>143</v>
      </c>
      <c r="L431">
        <v>914922</v>
      </c>
      <c r="M431">
        <v>23.54</v>
      </c>
      <c r="N431">
        <v>51.88</v>
      </c>
      <c r="P431">
        <v>1</v>
      </c>
      <c r="R431" t="s">
        <v>23</v>
      </c>
      <c r="S431" t="s">
        <v>34</v>
      </c>
      <c r="T431" t="s">
        <v>317</v>
      </c>
    </row>
    <row r="432" spans="1:20" x14ac:dyDescent="0.25">
      <c r="A432">
        <v>31</v>
      </c>
      <c r="B432" t="str">
        <f>HYPERLINK("https://imapinvasives.natureserve.org/imap/services/page/Presence/1443652.html", "View")</f>
        <v>View</v>
      </c>
      <c r="C432">
        <v>1443652</v>
      </c>
      <c r="D432">
        <v>1458285</v>
      </c>
      <c r="E432" t="str">
        <f>HYPERLINK("http://imap3images.s3-website-us-east-1.amazonaws.com/1458285/p/imap_app_photo_1725198305210.jpg", "View")</f>
        <v>View</v>
      </c>
      <c r="F432" t="s">
        <v>140</v>
      </c>
      <c r="G432" t="s">
        <v>141</v>
      </c>
      <c r="H432">
        <v>914922</v>
      </c>
      <c r="I432" t="str">
        <f>HYPERLINK("https://www.inaturalist.org/taxa/52681-Pteridium-aquilinum", "View")</f>
        <v>View</v>
      </c>
      <c r="J432" t="s">
        <v>156</v>
      </c>
      <c r="K432" t="s">
        <v>157</v>
      </c>
      <c r="L432">
        <v>52681</v>
      </c>
      <c r="M432">
        <v>30.5</v>
      </c>
      <c r="N432">
        <v>37.36</v>
      </c>
      <c r="P432">
        <v>0</v>
      </c>
      <c r="R432" t="s">
        <v>29</v>
      </c>
      <c r="S432" t="s">
        <v>33</v>
      </c>
      <c r="T432" t="s">
        <v>317</v>
      </c>
    </row>
    <row r="433" spans="1:20" x14ac:dyDescent="0.25">
      <c r="A433">
        <v>32</v>
      </c>
      <c r="B433" t="str">
        <f>HYPERLINK("https://imapinvasives.natureserve.org/imap/services/page/Presence/1332045.html", "View")</f>
        <v>View</v>
      </c>
      <c r="C433">
        <v>1332045</v>
      </c>
      <c r="D433">
        <v>1345711</v>
      </c>
      <c r="E433" t="str">
        <f>HYPERLINK("http://imap3images.s3-website-us-east-1.amazonaws.com/1345711/p/imap_app_photo_1685103517405.jpg", "View")</f>
        <v>View</v>
      </c>
      <c r="F433" t="s">
        <v>140</v>
      </c>
      <c r="G433" t="s">
        <v>141</v>
      </c>
      <c r="H433">
        <v>914922</v>
      </c>
      <c r="I433" t="str">
        <f>HYPERLINK("https://www.inaturalist.org/taxa/914922-Reynoutria-japonica", "View")</f>
        <v>View</v>
      </c>
      <c r="J433" t="s">
        <v>142</v>
      </c>
      <c r="K433" t="s">
        <v>143</v>
      </c>
      <c r="L433">
        <v>914922</v>
      </c>
      <c r="M433">
        <v>14.56</v>
      </c>
      <c r="N433">
        <v>75.58</v>
      </c>
      <c r="P433">
        <v>1</v>
      </c>
      <c r="R433" t="s">
        <v>23</v>
      </c>
      <c r="S433" t="s">
        <v>64</v>
      </c>
      <c r="T433" t="s">
        <v>317</v>
      </c>
    </row>
    <row r="434" spans="1:20" x14ac:dyDescent="0.25">
      <c r="A434">
        <v>33</v>
      </c>
      <c r="B434" t="str">
        <f>HYPERLINK("https://imapinvasives.natureserve.org/imap/services/page/Presence/1272731.html", "View")</f>
        <v>View</v>
      </c>
      <c r="C434">
        <v>1272731</v>
      </c>
      <c r="D434">
        <v>1281815</v>
      </c>
      <c r="E434" t="str">
        <f>HYPERLINK("http://imap3images.s3-website-us-east-1.amazonaws.com/1281815/p/Photo2-20220524-150835.jpg", "View")</f>
        <v>View</v>
      </c>
      <c r="F434" t="s">
        <v>140</v>
      </c>
      <c r="G434" t="s">
        <v>141</v>
      </c>
      <c r="H434">
        <v>914922</v>
      </c>
      <c r="I434" t="str">
        <f>HYPERLINK("https://www.inaturalist.org/taxa/914922-Reynoutria-japonica", "View")</f>
        <v>View</v>
      </c>
      <c r="J434" t="s">
        <v>142</v>
      </c>
      <c r="K434" t="s">
        <v>143</v>
      </c>
      <c r="L434">
        <v>914922</v>
      </c>
      <c r="M434">
        <v>79.8</v>
      </c>
      <c r="N434">
        <v>88.18</v>
      </c>
      <c r="P434">
        <v>1</v>
      </c>
      <c r="R434" t="s">
        <v>23</v>
      </c>
      <c r="S434" t="s">
        <v>24</v>
      </c>
      <c r="T434" t="s">
        <v>316</v>
      </c>
    </row>
    <row r="435" spans="1:20" x14ac:dyDescent="0.25">
      <c r="A435">
        <v>34</v>
      </c>
      <c r="B435" t="str">
        <f>HYPERLINK("https://imapinvasives.natureserve.org/imap/services/page/Presence/1327759.html", "View")</f>
        <v>View</v>
      </c>
      <c r="C435">
        <v>1327759</v>
      </c>
      <c r="D435">
        <v>1340753</v>
      </c>
      <c r="E435" t="str">
        <f>HYPERLINK("http://imap3images.s3-website-us-east-1.amazonaws.com/1340753/p/imap_app_photo_1683160660679.jpg", "View")</f>
        <v>View</v>
      </c>
      <c r="F435" t="s">
        <v>140</v>
      </c>
      <c r="G435" t="s">
        <v>141</v>
      </c>
      <c r="H435">
        <v>914922</v>
      </c>
      <c r="I435" t="str">
        <f>HYPERLINK("https://www.inaturalist.org/taxa/914922-Reynoutria-japonica", "View")</f>
        <v>View</v>
      </c>
      <c r="J435" t="s">
        <v>142</v>
      </c>
      <c r="K435" t="s">
        <v>143</v>
      </c>
      <c r="L435">
        <v>914922</v>
      </c>
      <c r="M435">
        <v>55.39</v>
      </c>
      <c r="N435">
        <v>98.82</v>
      </c>
      <c r="P435">
        <v>1</v>
      </c>
      <c r="R435" t="s">
        <v>23</v>
      </c>
      <c r="S435" t="s">
        <v>24</v>
      </c>
      <c r="T435" t="s">
        <v>316</v>
      </c>
    </row>
    <row r="436" spans="1:20" x14ac:dyDescent="0.25">
      <c r="A436">
        <v>35</v>
      </c>
      <c r="B436" t="str">
        <f>HYPERLINK("https://imapinvasives.natureserve.org/imap/services/page/Presence/1145540.html", "View")</f>
        <v>View</v>
      </c>
      <c r="C436">
        <v>1145540</v>
      </c>
      <c r="D436">
        <v>1152072</v>
      </c>
      <c r="E436" t="str">
        <f>HYPERLINK("http://imap3images.s3-website-us-east-1.amazonaws.com/1152072/p/imap_app_photo_1623435334091.jpg", "View")</f>
        <v>View</v>
      </c>
      <c r="F436" t="s">
        <v>140</v>
      </c>
      <c r="G436" t="s">
        <v>141</v>
      </c>
      <c r="H436">
        <v>914922</v>
      </c>
      <c r="I436" t="str">
        <f>HYPERLINK("https://www.inaturalist.org/taxa/914922-Reynoutria-japonica", "View")</f>
        <v>View</v>
      </c>
      <c r="J436" t="s">
        <v>142</v>
      </c>
      <c r="K436" t="s">
        <v>143</v>
      </c>
      <c r="L436">
        <v>914922</v>
      </c>
      <c r="M436">
        <v>20.27</v>
      </c>
      <c r="N436">
        <v>84.81</v>
      </c>
      <c r="P436">
        <v>1</v>
      </c>
      <c r="R436" t="s">
        <v>23</v>
      </c>
      <c r="S436" t="s">
        <v>24</v>
      </c>
      <c r="T436" t="s">
        <v>316</v>
      </c>
    </row>
    <row r="437" spans="1:20" x14ac:dyDescent="0.25">
      <c r="A437">
        <v>36</v>
      </c>
      <c r="B437" t="str">
        <f>HYPERLINK("https://imapinvasives.natureserve.org/imap/services/page/Presence/528769.html", "View")</f>
        <v>View</v>
      </c>
      <c r="C437">
        <v>528769</v>
      </c>
      <c r="D437">
        <v>528769</v>
      </c>
      <c r="E437" t="str">
        <f>HYPERLINK("http://imap3images.s3-website-us-east-1.amazonaws.com/528769/p/photourl1_2018_07_18_roykeats_rpspn6jj.jpg", "View")</f>
        <v>View</v>
      </c>
      <c r="F437" t="s">
        <v>140</v>
      </c>
      <c r="G437" t="s">
        <v>141</v>
      </c>
      <c r="H437">
        <v>914922</v>
      </c>
      <c r="I437" t="str">
        <f>HYPERLINK("https://www.inaturalist.org/taxa/52681-Pteridium-aquilinum", "View")</f>
        <v>View</v>
      </c>
      <c r="J437" t="s">
        <v>156</v>
      </c>
      <c r="K437" t="s">
        <v>157</v>
      </c>
      <c r="L437">
        <v>52681</v>
      </c>
      <c r="M437">
        <v>25.43</v>
      </c>
      <c r="N437">
        <v>4.6399999999999997</v>
      </c>
      <c r="P437">
        <v>0</v>
      </c>
      <c r="R437" t="s">
        <v>40</v>
      </c>
      <c r="S437" t="s">
        <v>33</v>
      </c>
      <c r="T437" t="s">
        <v>317</v>
      </c>
    </row>
    <row r="438" spans="1:20" x14ac:dyDescent="0.25">
      <c r="A438">
        <v>37</v>
      </c>
      <c r="B438" t="str">
        <f>HYPERLINK("https://imapinvasives.natureserve.org/imap/services/page/Presence/1271985.html", "View")</f>
        <v>View</v>
      </c>
      <c r="C438">
        <v>1271985</v>
      </c>
      <c r="D438">
        <v>1281007</v>
      </c>
      <c r="E438" t="str">
        <f>HYPERLINK("http://imap3images.s3-website-us-east-1.amazonaws.com/1281007/p/imap_app_photo_1652793756066.jpg", "View")</f>
        <v>View</v>
      </c>
      <c r="F438" t="s">
        <v>140</v>
      </c>
      <c r="G438" t="s">
        <v>141</v>
      </c>
      <c r="H438">
        <v>914922</v>
      </c>
      <c r="I438" t="str">
        <f>HYPERLINK("https://www.inaturalist.org/taxa/914922-Reynoutria-japonica", "View")</f>
        <v>View</v>
      </c>
      <c r="J438" t="s">
        <v>142</v>
      </c>
      <c r="K438" t="s">
        <v>143</v>
      </c>
      <c r="L438">
        <v>914922</v>
      </c>
      <c r="M438">
        <v>57.64</v>
      </c>
      <c r="N438">
        <v>87.05</v>
      </c>
      <c r="P438">
        <v>1</v>
      </c>
      <c r="R438" t="s">
        <v>23</v>
      </c>
      <c r="S438" t="s">
        <v>24</v>
      </c>
      <c r="T438" t="s">
        <v>316</v>
      </c>
    </row>
    <row r="439" spans="1:20" x14ac:dyDescent="0.25">
      <c r="A439">
        <v>38</v>
      </c>
      <c r="B439" t="str">
        <f>HYPERLINK("https://imapinvasives.natureserve.org/imap/services/page/Presence/1411324.html", "View")</f>
        <v>View</v>
      </c>
      <c r="C439">
        <v>1411324</v>
      </c>
      <c r="D439">
        <v>1423892</v>
      </c>
      <c r="E439" t="str">
        <f>HYPERLINK("http://imap3images.s3-website-us-east-1.amazonaws.com/1423892/p/imap_app_photo_1718229247631.jpg", "View")</f>
        <v>View</v>
      </c>
      <c r="F439" t="s">
        <v>140</v>
      </c>
      <c r="G439" t="s">
        <v>141</v>
      </c>
      <c r="H439">
        <v>914922</v>
      </c>
      <c r="I439" t="str">
        <f>HYPERLINK("https://www.inaturalist.org/taxa/914922-Reynoutria-japonica", "View")</f>
        <v>View</v>
      </c>
      <c r="J439" t="s">
        <v>142</v>
      </c>
      <c r="K439" t="s">
        <v>143</v>
      </c>
      <c r="L439">
        <v>914922</v>
      </c>
      <c r="M439">
        <v>79.8</v>
      </c>
      <c r="N439">
        <v>91.44</v>
      </c>
      <c r="P439">
        <v>1</v>
      </c>
      <c r="R439" t="s">
        <v>23</v>
      </c>
      <c r="S439" t="s">
        <v>24</v>
      </c>
      <c r="T439" t="s">
        <v>316</v>
      </c>
    </row>
    <row r="440" spans="1:20" x14ac:dyDescent="0.25">
      <c r="A440">
        <v>39</v>
      </c>
      <c r="B440" t="str">
        <f>HYPERLINK("https://imapinvasives.natureserve.org/imap/services/page/Presence/1273673.html", "View")</f>
        <v>View</v>
      </c>
      <c r="C440">
        <v>1273673</v>
      </c>
      <c r="D440">
        <v>1282864</v>
      </c>
      <c r="E440" t="str">
        <f>HYPERLINK("http://imap3images.s3-website-us-east-1.amazonaws.com/1282864/p/imap_app_photo_1654564231806.jpg", "View")</f>
        <v>View</v>
      </c>
      <c r="F440" t="s">
        <v>140</v>
      </c>
      <c r="G440" t="s">
        <v>141</v>
      </c>
      <c r="H440">
        <v>914922</v>
      </c>
      <c r="I440" t="str">
        <f>HYPERLINK("https://www.inaturalist.org/taxa/914922-Reynoutria-japonica", "View")</f>
        <v>View</v>
      </c>
      <c r="J440" t="s">
        <v>142</v>
      </c>
      <c r="K440" t="s">
        <v>143</v>
      </c>
      <c r="L440">
        <v>914922</v>
      </c>
      <c r="M440">
        <v>29.01</v>
      </c>
      <c r="N440">
        <v>98.31</v>
      </c>
      <c r="P440">
        <v>1</v>
      </c>
      <c r="R440" t="s">
        <v>23</v>
      </c>
      <c r="S440" t="s">
        <v>24</v>
      </c>
      <c r="T440" t="s">
        <v>316</v>
      </c>
    </row>
    <row r="441" spans="1:20" x14ac:dyDescent="0.25">
      <c r="A441">
        <v>40</v>
      </c>
      <c r="B441" t="str">
        <f>HYPERLINK("https://imapinvasives.natureserve.org/imap/services/page/Presence/1414514.html", "View")</f>
        <v>View</v>
      </c>
      <c r="C441">
        <v>1414514</v>
      </c>
      <c r="D441">
        <v>1428045</v>
      </c>
      <c r="E441" t="str">
        <f>HYPERLINK("http://imap3images.s3-website-us-east-1.amazonaws.com/1428045/p/imap_app_photo_1720026026216.jpg", "View")</f>
        <v>View</v>
      </c>
      <c r="F441" t="s">
        <v>140</v>
      </c>
      <c r="G441" t="s">
        <v>141</v>
      </c>
      <c r="H441">
        <v>914922</v>
      </c>
      <c r="I441" t="str">
        <f>HYPERLINK("https://www.inaturalist.org/taxa/914922-Reynoutria-japonica", "View")</f>
        <v>View</v>
      </c>
      <c r="J441" t="s">
        <v>142</v>
      </c>
      <c r="K441" t="s">
        <v>143</v>
      </c>
      <c r="L441">
        <v>914922</v>
      </c>
      <c r="M441">
        <v>19.75</v>
      </c>
      <c r="N441">
        <v>49.68</v>
      </c>
      <c r="P441">
        <v>1</v>
      </c>
      <c r="R441" t="s">
        <v>23</v>
      </c>
      <c r="S441" t="s">
        <v>39</v>
      </c>
      <c r="T441" t="s">
        <v>317</v>
      </c>
    </row>
    <row r="442" spans="1:20" x14ac:dyDescent="0.25">
      <c r="A442">
        <v>41</v>
      </c>
      <c r="B442" t="str">
        <f>HYPERLINK("https://imapinvasives.natureserve.org/imap/services/page/Presence/1335313.html", "View")</f>
        <v>View</v>
      </c>
      <c r="C442">
        <v>1335313</v>
      </c>
      <c r="D442">
        <v>1349600</v>
      </c>
      <c r="E442" t="str">
        <f>HYPERLINK("http://imap3images.s3-website-us-east-1.amazonaws.com/1349600/p/imap_app_photo_1686774072617.jpg", "View")</f>
        <v>View</v>
      </c>
      <c r="F442" t="s">
        <v>140</v>
      </c>
      <c r="G442" t="s">
        <v>141</v>
      </c>
      <c r="H442">
        <v>914922</v>
      </c>
      <c r="I442" t="str">
        <f>HYPERLINK("https://www.inaturalist.org/taxa/914922-Reynoutria-japonica", "View")</f>
        <v>View</v>
      </c>
      <c r="J442" t="s">
        <v>142</v>
      </c>
      <c r="K442" t="s">
        <v>143</v>
      </c>
      <c r="L442">
        <v>914922</v>
      </c>
      <c r="M442">
        <v>27.05</v>
      </c>
      <c r="N442">
        <v>92.57</v>
      </c>
      <c r="P442">
        <v>1</v>
      </c>
      <c r="R442" t="s">
        <v>23</v>
      </c>
      <c r="S442" t="s">
        <v>24</v>
      </c>
      <c r="T442" t="s">
        <v>316</v>
      </c>
    </row>
    <row r="443" spans="1:20" x14ac:dyDescent="0.25">
      <c r="A443">
        <v>42</v>
      </c>
      <c r="B443" t="str">
        <f>HYPERLINK("https://imapinvasives.natureserve.org/imap/services/page/Presence/1161988.html", "View")</f>
        <v>View</v>
      </c>
      <c r="C443">
        <v>1161988</v>
      </c>
      <c r="D443">
        <v>1169142</v>
      </c>
      <c r="E443" t="str">
        <f>HYPERLINK("http://imap3images.s3-website-us-east-1.amazonaws.com/1169142/p/imap_app_photo_1630962831626.jpg", "View")</f>
        <v>View</v>
      </c>
      <c r="F443" t="s">
        <v>140</v>
      </c>
      <c r="G443" t="s">
        <v>141</v>
      </c>
      <c r="H443">
        <v>914922</v>
      </c>
      <c r="I443" t="str">
        <f>HYPERLINK("https://www.inaturalist.org/taxa/49192-Castanea-mollissima", "View")</f>
        <v>View</v>
      </c>
      <c r="J443" t="s">
        <v>158</v>
      </c>
      <c r="K443" t="s">
        <v>159</v>
      </c>
      <c r="L443">
        <v>49192</v>
      </c>
      <c r="M443">
        <v>5.57</v>
      </c>
      <c r="N443">
        <v>17.21</v>
      </c>
      <c r="P443">
        <v>0</v>
      </c>
      <c r="R443" t="s">
        <v>29</v>
      </c>
      <c r="S443" t="s">
        <v>33</v>
      </c>
      <c r="T443" t="s">
        <v>317</v>
      </c>
    </row>
    <row r="444" spans="1:20" x14ac:dyDescent="0.25">
      <c r="A444">
        <v>43</v>
      </c>
      <c r="B444" t="str">
        <f>HYPERLINK("https://imapinvasives.natureserve.org/imap/services/page/Presence/1322659.html", "View")</f>
        <v>View</v>
      </c>
      <c r="C444">
        <v>1322659</v>
      </c>
      <c r="D444">
        <v>1334793</v>
      </c>
      <c r="E444" t="str">
        <f>HYPERLINK("http://imap3images.s3-website-us-east-1.amazonaws.com/1334793/p/imap_app_photo_1677509701101.jpg", "View")</f>
        <v>View</v>
      </c>
      <c r="F444" t="s">
        <v>140</v>
      </c>
      <c r="G444" t="s">
        <v>141</v>
      </c>
      <c r="H444">
        <v>914922</v>
      </c>
      <c r="I444" t="str">
        <f t="shared" ref="I444:I453" si="18">HYPERLINK("https://www.inaturalist.org/taxa/914922-Reynoutria-japonica", "View")</f>
        <v>View</v>
      </c>
      <c r="J444" t="s">
        <v>142</v>
      </c>
      <c r="K444" t="s">
        <v>143</v>
      </c>
      <c r="L444">
        <v>914922</v>
      </c>
      <c r="M444">
        <v>24.04</v>
      </c>
      <c r="N444">
        <v>41.1</v>
      </c>
      <c r="P444">
        <v>1</v>
      </c>
      <c r="R444" t="s">
        <v>40</v>
      </c>
      <c r="S444" t="s">
        <v>64</v>
      </c>
      <c r="T444" t="s">
        <v>317</v>
      </c>
    </row>
    <row r="445" spans="1:20" x14ac:dyDescent="0.25">
      <c r="A445">
        <v>44</v>
      </c>
      <c r="B445" t="str">
        <f>HYPERLINK("https://imapinvasives.natureserve.org/imap/services/page/Presence/1332298.html", "View")</f>
        <v>View</v>
      </c>
      <c r="C445">
        <v>1332298</v>
      </c>
      <c r="D445">
        <v>1346057</v>
      </c>
      <c r="E445" t="str">
        <f>HYPERLINK("http://imap3images.s3-website-us-east-1.amazonaws.com/1346057/p/imap_app_photo_1685323813040.jpg", "View")</f>
        <v>View</v>
      </c>
      <c r="F445" t="s">
        <v>140</v>
      </c>
      <c r="G445" t="s">
        <v>141</v>
      </c>
      <c r="H445">
        <v>914922</v>
      </c>
      <c r="I445" t="str">
        <f t="shared" si="18"/>
        <v>View</v>
      </c>
      <c r="J445" t="s">
        <v>142</v>
      </c>
      <c r="K445" t="s">
        <v>143</v>
      </c>
      <c r="L445">
        <v>914922</v>
      </c>
      <c r="M445">
        <v>55.39</v>
      </c>
      <c r="N445">
        <v>99.48</v>
      </c>
      <c r="P445">
        <v>1</v>
      </c>
      <c r="R445" t="s">
        <v>23</v>
      </c>
      <c r="S445" t="s">
        <v>24</v>
      </c>
      <c r="T445" t="s">
        <v>316</v>
      </c>
    </row>
    <row r="446" spans="1:20" x14ac:dyDescent="0.25">
      <c r="A446">
        <v>45</v>
      </c>
      <c r="B446" t="str">
        <f>HYPERLINK("https://imapinvasives.natureserve.org/imap/services/page/Presence/1286688.html", "View")</f>
        <v>View</v>
      </c>
      <c r="C446">
        <v>1286688</v>
      </c>
      <c r="D446">
        <v>1296452</v>
      </c>
      <c r="E446" t="str">
        <f>HYPERLINK("http://imap3images.s3-website-us-east-1.amazonaws.com/1296452/p/imap_app_photo_1660492955581.jpg", "View")</f>
        <v>View</v>
      </c>
      <c r="F446" t="s">
        <v>140</v>
      </c>
      <c r="G446" t="s">
        <v>141</v>
      </c>
      <c r="H446">
        <v>914922</v>
      </c>
      <c r="I446" t="str">
        <f t="shared" si="18"/>
        <v>View</v>
      </c>
      <c r="J446" t="s">
        <v>142</v>
      </c>
      <c r="K446" t="s">
        <v>143</v>
      </c>
      <c r="L446">
        <v>914922</v>
      </c>
      <c r="M446">
        <v>19.29</v>
      </c>
      <c r="N446">
        <v>99.81</v>
      </c>
      <c r="P446">
        <v>1</v>
      </c>
      <c r="R446" t="s">
        <v>23</v>
      </c>
      <c r="S446" t="s">
        <v>24</v>
      </c>
      <c r="T446" t="s">
        <v>316</v>
      </c>
    </row>
    <row r="447" spans="1:20" x14ac:dyDescent="0.25">
      <c r="A447">
        <v>46</v>
      </c>
      <c r="B447" t="str">
        <f>HYPERLINK("https://imapinvasives.natureserve.org/imap/services/page/Presence/1282093.html", "View")</f>
        <v>View</v>
      </c>
      <c r="C447">
        <v>1282093</v>
      </c>
      <c r="D447">
        <v>1291537</v>
      </c>
      <c r="E447" t="str">
        <f>HYPERLINK("http://imap3images.s3-website-us-east-1.amazonaws.com/1291537/p/imap_app_photo_1657625574768.jpg", "View")</f>
        <v>View</v>
      </c>
      <c r="F447" t="s">
        <v>140</v>
      </c>
      <c r="G447" t="s">
        <v>141</v>
      </c>
      <c r="H447">
        <v>914922</v>
      </c>
      <c r="I447" t="str">
        <f t="shared" si="18"/>
        <v>View</v>
      </c>
      <c r="J447" t="s">
        <v>142</v>
      </c>
      <c r="K447" t="s">
        <v>143</v>
      </c>
      <c r="L447">
        <v>914922</v>
      </c>
      <c r="M447">
        <v>31.38</v>
      </c>
      <c r="N447">
        <v>25.03</v>
      </c>
      <c r="P447">
        <v>1</v>
      </c>
      <c r="R447" t="s">
        <v>23</v>
      </c>
      <c r="S447" t="s">
        <v>24</v>
      </c>
      <c r="T447" t="s">
        <v>316</v>
      </c>
    </row>
    <row r="448" spans="1:20" x14ac:dyDescent="0.25">
      <c r="A448">
        <v>47</v>
      </c>
      <c r="B448" t="str">
        <f>HYPERLINK("https://imapinvasives.natureserve.org/imap/services/page/Presence/1274166.html", "View")</f>
        <v>View</v>
      </c>
      <c r="C448">
        <v>1274166</v>
      </c>
      <c r="D448">
        <v>1283378</v>
      </c>
      <c r="E448" t="str">
        <f>HYPERLINK("http://imap3images.s3-website-us-east-1.amazonaws.com/1283378/p/imap_app_photo_1655133154885.jpg", "View")</f>
        <v>View</v>
      </c>
      <c r="F448" t="s">
        <v>140</v>
      </c>
      <c r="G448" t="s">
        <v>141</v>
      </c>
      <c r="H448">
        <v>914922</v>
      </c>
      <c r="I448" t="str">
        <f t="shared" si="18"/>
        <v>View</v>
      </c>
      <c r="J448" t="s">
        <v>142</v>
      </c>
      <c r="K448" t="s">
        <v>143</v>
      </c>
      <c r="L448">
        <v>914922</v>
      </c>
      <c r="M448">
        <v>31.38</v>
      </c>
      <c r="N448">
        <v>93.1</v>
      </c>
      <c r="P448">
        <v>1</v>
      </c>
      <c r="R448" t="s">
        <v>23</v>
      </c>
      <c r="S448" t="s">
        <v>24</v>
      </c>
      <c r="T448" t="s">
        <v>316</v>
      </c>
    </row>
    <row r="449" spans="1:20" x14ac:dyDescent="0.25">
      <c r="A449">
        <v>48</v>
      </c>
      <c r="B449" t="str">
        <f>HYPERLINK("https://imapinvasives.natureserve.org/imap/services/page/Presence/1272425.html", "View")</f>
        <v>View</v>
      </c>
      <c r="C449">
        <v>1272425</v>
      </c>
      <c r="D449">
        <v>1281459</v>
      </c>
      <c r="E449" t="str">
        <f>HYPERLINK("http://imap3images.s3-website-us-east-1.amazonaws.com/1281459/p/PXL_20220522_113139728.jpg", "View")</f>
        <v>View</v>
      </c>
      <c r="F449" t="s">
        <v>140</v>
      </c>
      <c r="G449" t="s">
        <v>141</v>
      </c>
      <c r="H449">
        <v>914922</v>
      </c>
      <c r="I449" t="str">
        <f t="shared" si="18"/>
        <v>View</v>
      </c>
      <c r="J449" t="s">
        <v>142</v>
      </c>
      <c r="K449" t="s">
        <v>143</v>
      </c>
      <c r="L449">
        <v>914922</v>
      </c>
      <c r="M449">
        <v>26.6</v>
      </c>
      <c r="N449">
        <v>99.41</v>
      </c>
      <c r="P449">
        <v>1</v>
      </c>
      <c r="R449" t="s">
        <v>23</v>
      </c>
      <c r="S449" t="s">
        <v>24</v>
      </c>
      <c r="T449" t="s">
        <v>316</v>
      </c>
    </row>
    <row r="450" spans="1:20" x14ac:dyDescent="0.25">
      <c r="A450">
        <v>49</v>
      </c>
      <c r="B450" t="str">
        <f>HYPERLINK("https://imapinvasives.natureserve.org/imap/services/page/Presence/1350436.html", "View")</f>
        <v>View</v>
      </c>
      <c r="C450">
        <v>1350436</v>
      </c>
      <c r="D450">
        <v>1367407</v>
      </c>
      <c r="E450" t="str">
        <f>HYPERLINK("http://imap3images.s3-website-us-east-1.amazonaws.com/1367407/p/imap_app_photo_1693239603161.jpg", "View")</f>
        <v>View</v>
      </c>
      <c r="F450" t="s">
        <v>140</v>
      </c>
      <c r="G450" t="s">
        <v>141</v>
      </c>
      <c r="H450">
        <v>914922</v>
      </c>
      <c r="I450" t="str">
        <f t="shared" si="18"/>
        <v>View</v>
      </c>
      <c r="J450" t="s">
        <v>142</v>
      </c>
      <c r="K450" t="s">
        <v>143</v>
      </c>
      <c r="L450">
        <v>914922</v>
      </c>
      <c r="M450">
        <v>27.05</v>
      </c>
      <c r="N450">
        <v>86.76</v>
      </c>
      <c r="P450">
        <v>1</v>
      </c>
      <c r="R450" t="s">
        <v>23</v>
      </c>
      <c r="S450" t="s">
        <v>24</v>
      </c>
      <c r="T450" t="s">
        <v>316</v>
      </c>
    </row>
    <row r="451" spans="1:20" x14ac:dyDescent="0.25">
      <c r="A451">
        <v>50</v>
      </c>
      <c r="B451" t="str">
        <f>HYPERLINK("https://imapinvasives.natureserve.org/imap/services/page/Presence/1272676.html", "View")</f>
        <v>View</v>
      </c>
      <c r="C451">
        <v>1272676</v>
      </c>
      <c r="D451">
        <v>1281733</v>
      </c>
      <c r="E451" t="str">
        <f>HYPERLINK("http://imap3images.s3-website-us-east-1.amazonaws.com/1281733/p/Photo2-20220524-141144.jpg", "View")</f>
        <v>View</v>
      </c>
      <c r="F451" t="s">
        <v>140</v>
      </c>
      <c r="G451" t="s">
        <v>141</v>
      </c>
      <c r="H451">
        <v>914922</v>
      </c>
      <c r="I451" t="str">
        <f t="shared" si="18"/>
        <v>View</v>
      </c>
      <c r="J451" t="s">
        <v>142</v>
      </c>
      <c r="K451" t="s">
        <v>143</v>
      </c>
      <c r="L451">
        <v>914922</v>
      </c>
      <c r="M451">
        <v>79.8</v>
      </c>
      <c r="N451">
        <v>95.22</v>
      </c>
      <c r="P451">
        <v>1</v>
      </c>
      <c r="R451" t="s">
        <v>23</v>
      </c>
      <c r="S451" t="s">
        <v>24</v>
      </c>
      <c r="T451" t="s">
        <v>316</v>
      </c>
    </row>
    <row r="452" spans="1:20" x14ac:dyDescent="0.25">
      <c r="A452">
        <v>51</v>
      </c>
      <c r="B452" t="str">
        <f>HYPERLINK("https://imapinvasives.natureserve.org/imap/services/page/Presence/1414501.html", "View")</f>
        <v>View</v>
      </c>
      <c r="C452">
        <v>1414501</v>
      </c>
      <c r="D452">
        <v>1428032</v>
      </c>
      <c r="E452" t="str">
        <f>HYPERLINK("http://imap3images.s3-website-us-east-1.amazonaws.com/1428032/p/imap_app_photo_1720025971239.jpg", "View")</f>
        <v>View</v>
      </c>
      <c r="F452" t="s">
        <v>140</v>
      </c>
      <c r="G452" t="s">
        <v>141</v>
      </c>
      <c r="H452">
        <v>914922</v>
      </c>
      <c r="I452" t="str">
        <f t="shared" si="18"/>
        <v>View</v>
      </c>
      <c r="J452" t="s">
        <v>142</v>
      </c>
      <c r="K452" t="s">
        <v>143</v>
      </c>
      <c r="L452">
        <v>914922</v>
      </c>
      <c r="M452">
        <v>19.75</v>
      </c>
      <c r="N452">
        <v>85.86</v>
      </c>
      <c r="P452">
        <v>1</v>
      </c>
      <c r="R452" t="s">
        <v>23</v>
      </c>
      <c r="S452" t="s">
        <v>24</v>
      </c>
      <c r="T452" t="s">
        <v>316</v>
      </c>
    </row>
    <row r="453" spans="1:20" x14ac:dyDescent="0.25">
      <c r="A453">
        <v>52</v>
      </c>
      <c r="B453" t="str">
        <f>HYPERLINK("https://imapinvasives.natureserve.org/imap/services/page/Presence/1443659.html", "View")</f>
        <v>View</v>
      </c>
      <c r="C453">
        <v>1443659</v>
      </c>
      <c r="D453">
        <v>1458292</v>
      </c>
      <c r="E453" t="str">
        <f>HYPERLINK("http://imap3images.s3-website-us-east-1.amazonaws.com/1458292/p/imap_app_photo_1725227047337.jpg", "View")</f>
        <v>View</v>
      </c>
      <c r="F453" t="s">
        <v>140</v>
      </c>
      <c r="G453" t="s">
        <v>141</v>
      </c>
      <c r="H453">
        <v>914922</v>
      </c>
      <c r="I453" t="str">
        <f t="shared" si="18"/>
        <v>View</v>
      </c>
      <c r="J453" t="s">
        <v>142</v>
      </c>
      <c r="K453" t="s">
        <v>143</v>
      </c>
      <c r="L453">
        <v>914922</v>
      </c>
      <c r="M453">
        <v>12.25</v>
      </c>
      <c r="N453">
        <v>69.73</v>
      </c>
      <c r="P453">
        <v>1</v>
      </c>
      <c r="R453" t="s">
        <v>23</v>
      </c>
      <c r="S453" t="s">
        <v>39</v>
      </c>
      <c r="T453" t="s">
        <v>317</v>
      </c>
    </row>
    <row r="454" spans="1:20" x14ac:dyDescent="0.25">
      <c r="A454">
        <v>53</v>
      </c>
      <c r="B454" t="str">
        <f>HYPERLINK("https://imapinvasives.natureserve.org/imap/services/page/Presence/1164285.html", "View")</f>
        <v>View</v>
      </c>
      <c r="C454">
        <v>1164285</v>
      </c>
      <c r="D454">
        <v>1171516</v>
      </c>
      <c r="E454" t="str">
        <f>HYPERLINK("http://imap3images.s3-website-us-east-1.amazonaws.com/1171516/p/imap_app_photo_1632236872579.jpg", "View")</f>
        <v>View</v>
      </c>
      <c r="F454" t="s">
        <v>140</v>
      </c>
      <c r="G454" t="s">
        <v>141</v>
      </c>
      <c r="H454">
        <v>914922</v>
      </c>
      <c r="I454" t="str">
        <f>HYPERLINK("https://www.inaturalist.org/taxa/482287-Cuscuta-lupuliformis", "View")</f>
        <v>View</v>
      </c>
      <c r="J454" t="s">
        <v>160</v>
      </c>
      <c r="K454" t="s">
        <v>94</v>
      </c>
      <c r="L454">
        <v>482287</v>
      </c>
      <c r="M454">
        <v>0</v>
      </c>
      <c r="N454">
        <v>35.99</v>
      </c>
      <c r="P454">
        <v>0</v>
      </c>
      <c r="R454" t="s">
        <v>29</v>
      </c>
      <c r="S454" t="s">
        <v>79</v>
      </c>
      <c r="T454" t="s">
        <v>317</v>
      </c>
    </row>
    <row r="455" spans="1:20" x14ac:dyDescent="0.25">
      <c r="A455">
        <v>54</v>
      </c>
      <c r="B455" t="str">
        <f>HYPERLINK("https://imapinvasives.natureserve.org/imap/services/page/Presence/1414518.html", "View")</f>
        <v>View</v>
      </c>
      <c r="C455">
        <v>1414518</v>
      </c>
      <c r="D455">
        <v>1428049</v>
      </c>
      <c r="E455" t="str">
        <f>HYPERLINK("http://imap3images.s3-website-us-east-1.amazonaws.com/1428049/p/imap_app_photo_1720026043580.jpg", "View")</f>
        <v>View</v>
      </c>
      <c r="F455" t="s">
        <v>140</v>
      </c>
      <c r="G455" t="s">
        <v>141</v>
      </c>
      <c r="H455">
        <v>914922</v>
      </c>
      <c r="I455" t="str">
        <f>HYPERLINK("https://www.inaturalist.org/taxa/914922-Reynoutria-japonica", "View")</f>
        <v>View</v>
      </c>
      <c r="J455" t="s">
        <v>142</v>
      </c>
      <c r="K455" t="s">
        <v>143</v>
      </c>
      <c r="L455">
        <v>914922</v>
      </c>
      <c r="M455">
        <v>19.75</v>
      </c>
      <c r="N455">
        <v>88.1</v>
      </c>
      <c r="P455">
        <v>1</v>
      </c>
      <c r="R455" t="s">
        <v>23</v>
      </c>
      <c r="S455" t="s">
        <v>24</v>
      </c>
      <c r="T455" t="s">
        <v>316</v>
      </c>
    </row>
    <row r="456" spans="1:20" x14ac:dyDescent="0.25">
      <c r="A456">
        <v>55</v>
      </c>
      <c r="B456" t="str">
        <f>HYPERLINK("https://imapinvasives.natureserve.org/imap/services/page/Presence/1435670.html", "View")</f>
        <v>View</v>
      </c>
      <c r="C456">
        <v>1435670</v>
      </c>
      <c r="D456">
        <v>1449400</v>
      </c>
      <c r="E456" t="str">
        <f>HYPERLINK("http://imap3images.s3-website-us-east-1.amazonaws.com/1449400/p/imap_app_photo_1721695199953.jpg", "View")</f>
        <v>View</v>
      </c>
      <c r="F456" t="s">
        <v>140</v>
      </c>
      <c r="G456" t="s">
        <v>141</v>
      </c>
      <c r="H456">
        <v>914922</v>
      </c>
      <c r="I456" t="str">
        <f>HYPERLINK("https://www.inaturalist.org/taxa/914922-Reynoutria-japonica", "View")</f>
        <v>View</v>
      </c>
      <c r="J456" t="s">
        <v>142</v>
      </c>
      <c r="K456" t="s">
        <v>143</v>
      </c>
      <c r="L456">
        <v>914922</v>
      </c>
      <c r="M456">
        <v>24.04</v>
      </c>
      <c r="N456">
        <v>91.02</v>
      </c>
      <c r="P456">
        <v>1</v>
      </c>
      <c r="R456" t="s">
        <v>23</v>
      </c>
      <c r="S456" t="s">
        <v>24</v>
      </c>
      <c r="T456" t="s">
        <v>316</v>
      </c>
    </row>
    <row r="457" spans="1:20" x14ac:dyDescent="0.25">
      <c r="A457">
        <v>56</v>
      </c>
      <c r="B457" t="str">
        <f>HYPERLINK("https://imapinvasives.natureserve.org/imap/services/page/Presence/1332807.html", "View")</f>
        <v>View</v>
      </c>
      <c r="C457">
        <v>1332807</v>
      </c>
      <c r="D457">
        <v>1346876</v>
      </c>
      <c r="E457" t="str">
        <f>HYPERLINK("http://imap3images.s3-website-us-east-1.amazonaws.com/1346876/p/Photo2-20230602-172032.jpg", "View")</f>
        <v>View</v>
      </c>
      <c r="F457" t="s">
        <v>140</v>
      </c>
      <c r="G457" t="s">
        <v>141</v>
      </c>
      <c r="H457">
        <v>914922</v>
      </c>
      <c r="I457" t="str">
        <f>HYPERLINK("https://www.inaturalist.org/taxa/914922-Reynoutria-japonica", "View")</f>
        <v>View</v>
      </c>
      <c r="J457" t="s">
        <v>142</v>
      </c>
      <c r="K457" t="s">
        <v>143</v>
      </c>
      <c r="L457">
        <v>914922</v>
      </c>
      <c r="M457">
        <v>79.8</v>
      </c>
      <c r="N457">
        <v>96.33</v>
      </c>
      <c r="P457">
        <v>1</v>
      </c>
      <c r="R457" t="s">
        <v>23</v>
      </c>
      <c r="S457" t="s">
        <v>24</v>
      </c>
      <c r="T457" t="s">
        <v>316</v>
      </c>
    </row>
    <row r="458" spans="1:20" x14ac:dyDescent="0.25">
      <c r="A458">
        <v>57</v>
      </c>
      <c r="B458" t="str">
        <f>HYPERLINK("https://imapinvasives.natureserve.org/imap/services/page/Presence/1443652.html", "View")</f>
        <v>View</v>
      </c>
      <c r="C458">
        <v>1443652</v>
      </c>
      <c r="D458">
        <v>1458285</v>
      </c>
      <c r="E458" t="str">
        <f>HYPERLINK("http://imap3images.s3-website-us-east-1.amazonaws.com/1458285/p/imap_app_photo_1725198305210.jpg", "View")</f>
        <v>View</v>
      </c>
      <c r="F458" t="s">
        <v>140</v>
      </c>
      <c r="G458" t="s">
        <v>141</v>
      </c>
      <c r="H458">
        <v>914922</v>
      </c>
      <c r="I458" t="str">
        <f>HYPERLINK("https://www.inaturalist.org/taxa/52681-Pteridium-aquilinum", "View")</f>
        <v>View</v>
      </c>
      <c r="J458" t="s">
        <v>156</v>
      </c>
      <c r="K458" t="s">
        <v>157</v>
      </c>
      <c r="L458">
        <v>52681</v>
      </c>
      <c r="M458">
        <v>30.5</v>
      </c>
      <c r="N458">
        <v>37.36</v>
      </c>
      <c r="P458">
        <v>0</v>
      </c>
      <c r="R458" t="s">
        <v>29</v>
      </c>
      <c r="S458" t="s">
        <v>33</v>
      </c>
      <c r="T458" t="s">
        <v>317</v>
      </c>
    </row>
    <row r="459" spans="1:20" x14ac:dyDescent="0.25">
      <c r="A459">
        <v>58</v>
      </c>
      <c r="B459" t="str">
        <f>HYPERLINK("https://imapinvasives.natureserve.org/imap/services/page/Presence/1328552.html", "View")</f>
        <v>View</v>
      </c>
      <c r="C459">
        <v>1328552</v>
      </c>
      <c r="D459">
        <v>1341759</v>
      </c>
      <c r="E459" t="str">
        <f>HYPERLINK("http://imap3images.s3-website-us-east-1.amazonaws.com/1341759/p/Japanese_knotweed.jpg", "View")</f>
        <v>View</v>
      </c>
      <c r="F459" t="s">
        <v>140</v>
      </c>
      <c r="G459" t="s">
        <v>141</v>
      </c>
      <c r="H459">
        <v>914922</v>
      </c>
      <c r="I459" t="str">
        <f t="shared" ref="I459:I470" si="19">HYPERLINK("https://www.inaturalist.org/taxa/914922-Reynoutria-japonica", "View")</f>
        <v>View</v>
      </c>
      <c r="J459" t="s">
        <v>142</v>
      </c>
      <c r="K459" t="s">
        <v>143</v>
      </c>
      <c r="L459">
        <v>914922</v>
      </c>
      <c r="M459">
        <v>35.799999999999997</v>
      </c>
      <c r="N459">
        <v>98.82</v>
      </c>
      <c r="P459">
        <v>1</v>
      </c>
      <c r="R459" t="s">
        <v>23</v>
      </c>
      <c r="S459" t="s">
        <v>24</v>
      </c>
      <c r="T459" t="s">
        <v>316</v>
      </c>
    </row>
    <row r="460" spans="1:20" x14ac:dyDescent="0.25">
      <c r="A460">
        <v>59</v>
      </c>
      <c r="B460" t="str">
        <f>HYPERLINK("https://imapinvasives.natureserve.org/imap/services/page/Presence/1284505.html", "View")</f>
        <v>View</v>
      </c>
      <c r="C460">
        <v>1284505</v>
      </c>
      <c r="D460">
        <v>1294085</v>
      </c>
      <c r="E460" t="str">
        <f>HYPERLINK("http://imap3images.s3-website-us-east-1.amazonaws.com/1294085/p/imap_app_photo_1659196402950.jpg", "View")</f>
        <v>View</v>
      </c>
      <c r="F460" t="s">
        <v>140</v>
      </c>
      <c r="G460" t="s">
        <v>141</v>
      </c>
      <c r="H460">
        <v>914922</v>
      </c>
      <c r="I460" t="str">
        <f t="shared" si="19"/>
        <v>View</v>
      </c>
      <c r="J460" t="s">
        <v>142</v>
      </c>
      <c r="K460" t="s">
        <v>143</v>
      </c>
      <c r="L460">
        <v>914922</v>
      </c>
      <c r="M460">
        <v>31.38</v>
      </c>
      <c r="N460">
        <v>85.82</v>
      </c>
      <c r="P460">
        <v>1</v>
      </c>
      <c r="R460" t="s">
        <v>23</v>
      </c>
      <c r="S460" t="s">
        <v>24</v>
      </c>
      <c r="T460" t="s">
        <v>316</v>
      </c>
    </row>
    <row r="461" spans="1:20" x14ac:dyDescent="0.25">
      <c r="A461">
        <v>60</v>
      </c>
      <c r="B461" t="str">
        <f>HYPERLINK("https://imapinvasives.natureserve.org/imap/services/page/Presence/1388753.html", "View")</f>
        <v>View</v>
      </c>
      <c r="C461">
        <v>1388753</v>
      </c>
      <c r="D461">
        <v>1406853</v>
      </c>
      <c r="E461" t="str">
        <f>HYPERLINK("http://imap3images.s3-website-us-east-1.amazonaws.com/1406853/p/imap_app_photo_1708133613133.jpg", "View")</f>
        <v>View</v>
      </c>
      <c r="F461" t="s">
        <v>140</v>
      </c>
      <c r="G461" t="s">
        <v>141</v>
      </c>
      <c r="H461">
        <v>914922</v>
      </c>
      <c r="I461" t="str">
        <f t="shared" si="19"/>
        <v>View</v>
      </c>
      <c r="J461" t="s">
        <v>142</v>
      </c>
      <c r="K461" t="s">
        <v>143</v>
      </c>
      <c r="L461">
        <v>914922</v>
      </c>
      <c r="M461">
        <v>27.73</v>
      </c>
      <c r="N461">
        <v>34.19</v>
      </c>
      <c r="P461">
        <v>1</v>
      </c>
      <c r="R461" t="s">
        <v>23</v>
      </c>
      <c r="S461" t="s">
        <v>64</v>
      </c>
      <c r="T461" t="s">
        <v>317</v>
      </c>
    </row>
    <row r="462" spans="1:20" x14ac:dyDescent="0.25">
      <c r="A462">
        <v>61</v>
      </c>
      <c r="B462" t="str">
        <f>HYPERLINK("https://imapinvasives.natureserve.org/imap/services/page/Presence/1443657.html", "View")</f>
        <v>View</v>
      </c>
      <c r="C462">
        <v>1443657</v>
      </c>
      <c r="D462">
        <v>1458290</v>
      </c>
      <c r="E462" t="str">
        <f>HYPERLINK("http://imap3images.s3-website-us-east-1.amazonaws.com/1458290/p/imap_app_photo_1725227033220.jpg", "View")</f>
        <v>View</v>
      </c>
      <c r="F462" t="s">
        <v>140</v>
      </c>
      <c r="G462" t="s">
        <v>141</v>
      </c>
      <c r="H462">
        <v>914922</v>
      </c>
      <c r="I462" t="str">
        <f t="shared" si="19"/>
        <v>View</v>
      </c>
      <c r="J462" t="s">
        <v>142</v>
      </c>
      <c r="K462" t="s">
        <v>143</v>
      </c>
      <c r="L462">
        <v>914922</v>
      </c>
      <c r="M462">
        <v>12.25</v>
      </c>
      <c r="N462">
        <v>99.26</v>
      </c>
      <c r="P462">
        <v>1</v>
      </c>
      <c r="R462" t="s">
        <v>23</v>
      </c>
      <c r="S462" t="s">
        <v>24</v>
      </c>
      <c r="T462" t="s">
        <v>316</v>
      </c>
    </row>
    <row r="463" spans="1:20" x14ac:dyDescent="0.25">
      <c r="A463">
        <v>62</v>
      </c>
      <c r="B463" t="str">
        <f>HYPERLINK("https://imapinvasives.natureserve.org/imap/services/page/Presence/1160221.html", "View")</f>
        <v>View</v>
      </c>
      <c r="C463">
        <v>1160221</v>
      </c>
      <c r="D463">
        <v>1167332</v>
      </c>
      <c r="E463" t="str">
        <f>HYPERLINK("http://imap3images.s3-website-us-east-1.amazonaws.com/1167332/p/imap_app_photo_1630016509098.jpg", "View")</f>
        <v>View</v>
      </c>
      <c r="F463" t="s">
        <v>140</v>
      </c>
      <c r="G463" t="s">
        <v>141</v>
      </c>
      <c r="H463">
        <v>914922</v>
      </c>
      <c r="I463" t="str">
        <f t="shared" si="19"/>
        <v>View</v>
      </c>
      <c r="J463" t="s">
        <v>142</v>
      </c>
      <c r="K463" t="s">
        <v>143</v>
      </c>
      <c r="L463">
        <v>914922</v>
      </c>
      <c r="M463">
        <v>29.01</v>
      </c>
      <c r="N463">
        <v>90.51</v>
      </c>
      <c r="P463">
        <v>1</v>
      </c>
      <c r="R463" t="s">
        <v>23</v>
      </c>
      <c r="S463" t="s">
        <v>24</v>
      </c>
      <c r="T463" t="s">
        <v>316</v>
      </c>
    </row>
    <row r="464" spans="1:20" x14ac:dyDescent="0.25">
      <c r="A464">
        <v>63</v>
      </c>
      <c r="B464" t="str">
        <f>HYPERLINK("https://imapinvasives.natureserve.org/imap/services/page/Presence/1414486.html", "View")</f>
        <v>View</v>
      </c>
      <c r="C464">
        <v>1414486</v>
      </c>
      <c r="D464">
        <v>1428017</v>
      </c>
      <c r="E464" t="str">
        <f>HYPERLINK("http://imap3images.s3-website-us-east-1.amazonaws.com/1428017/p/imap_app_photo_1720025903404.jpg", "View")</f>
        <v>View</v>
      </c>
      <c r="F464" t="s">
        <v>140</v>
      </c>
      <c r="G464" t="s">
        <v>141</v>
      </c>
      <c r="H464">
        <v>914922</v>
      </c>
      <c r="I464" t="str">
        <f t="shared" si="19"/>
        <v>View</v>
      </c>
      <c r="J464" t="s">
        <v>142</v>
      </c>
      <c r="K464" t="s">
        <v>143</v>
      </c>
      <c r="L464">
        <v>914922</v>
      </c>
      <c r="M464">
        <v>19.75</v>
      </c>
      <c r="N464">
        <v>87.88</v>
      </c>
      <c r="P464">
        <v>1</v>
      </c>
      <c r="R464" t="s">
        <v>23</v>
      </c>
      <c r="S464" t="s">
        <v>24</v>
      </c>
      <c r="T464" t="s">
        <v>316</v>
      </c>
    </row>
    <row r="465" spans="1:20" x14ac:dyDescent="0.25">
      <c r="A465">
        <v>64</v>
      </c>
      <c r="B465" t="str">
        <f>HYPERLINK("https://imapinvasives.natureserve.org/imap/services/page/Presence/1330519.html", "View")</f>
        <v>View</v>
      </c>
      <c r="C465">
        <v>1330519</v>
      </c>
      <c r="D465">
        <v>1343963</v>
      </c>
      <c r="E465" t="str">
        <f>HYPERLINK("http://imap3images.s3-website-us-east-1.amazonaws.com/1343963/p/WhatsApp_Image_2023-05-16_at_3.13.31_PM.jpeg", "View")</f>
        <v>View</v>
      </c>
      <c r="F465" t="s">
        <v>140</v>
      </c>
      <c r="G465" t="s">
        <v>141</v>
      </c>
      <c r="H465">
        <v>914922</v>
      </c>
      <c r="I465" t="str">
        <f t="shared" si="19"/>
        <v>View</v>
      </c>
      <c r="J465" t="s">
        <v>142</v>
      </c>
      <c r="K465" t="s">
        <v>143</v>
      </c>
      <c r="L465">
        <v>914922</v>
      </c>
      <c r="M465">
        <v>79.8</v>
      </c>
      <c r="N465">
        <v>89.32</v>
      </c>
      <c r="P465">
        <v>1</v>
      </c>
      <c r="R465" t="s">
        <v>23</v>
      </c>
      <c r="S465" t="s">
        <v>24</v>
      </c>
      <c r="T465" t="s">
        <v>316</v>
      </c>
    </row>
    <row r="466" spans="1:20" x14ac:dyDescent="0.25">
      <c r="A466">
        <v>65</v>
      </c>
      <c r="B466" t="str">
        <f>HYPERLINK("https://imapinvasives.natureserve.org/imap/services/page/Presence/1443658.html", "View")</f>
        <v>View</v>
      </c>
      <c r="C466">
        <v>1443658</v>
      </c>
      <c r="D466">
        <v>1458291</v>
      </c>
      <c r="E466" t="str">
        <f>HYPERLINK("http://imap3images.s3-website-us-east-1.amazonaws.com/1458291/p/imap_app_photo_1725227040742.jpg", "View")</f>
        <v>View</v>
      </c>
      <c r="F466" t="s">
        <v>140</v>
      </c>
      <c r="G466" t="s">
        <v>141</v>
      </c>
      <c r="H466">
        <v>914922</v>
      </c>
      <c r="I466" t="str">
        <f t="shared" si="19"/>
        <v>View</v>
      </c>
      <c r="J466" t="s">
        <v>142</v>
      </c>
      <c r="K466" t="s">
        <v>143</v>
      </c>
      <c r="L466">
        <v>914922</v>
      </c>
      <c r="M466">
        <v>12.25</v>
      </c>
      <c r="N466">
        <v>74.650000000000006</v>
      </c>
      <c r="P466">
        <v>1</v>
      </c>
      <c r="R466" t="s">
        <v>23</v>
      </c>
      <c r="S466" t="s">
        <v>24</v>
      </c>
      <c r="T466" t="s">
        <v>316</v>
      </c>
    </row>
    <row r="467" spans="1:20" x14ac:dyDescent="0.25">
      <c r="A467">
        <v>66</v>
      </c>
      <c r="B467" t="str">
        <f>HYPERLINK("https://imapinvasives.natureserve.org/imap/services/page/Presence/1195842.html", "View")</f>
        <v>View</v>
      </c>
      <c r="C467">
        <v>1195842</v>
      </c>
      <c r="D467">
        <v>1203894</v>
      </c>
      <c r="E467" t="str">
        <f>HYPERLINK("http://imap3images.s3-website-us-east-1.amazonaws.com/1203894/p/imap_app_photo_1638667562748.jpg", "View")</f>
        <v>View</v>
      </c>
      <c r="F467" t="s">
        <v>140</v>
      </c>
      <c r="G467" t="s">
        <v>141</v>
      </c>
      <c r="H467">
        <v>914922</v>
      </c>
      <c r="I467" t="str">
        <f t="shared" si="19"/>
        <v>View</v>
      </c>
      <c r="J467" t="s">
        <v>142</v>
      </c>
      <c r="K467" t="s">
        <v>143</v>
      </c>
      <c r="L467">
        <v>914922</v>
      </c>
      <c r="M467">
        <v>28.94</v>
      </c>
      <c r="N467">
        <v>97.39</v>
      </c>
      <c r="P467">
        <v>1</v>
      </c>
      <c r="R467" t="s">
        <v>23</v>
      </c>
      <c r="S467" t="s">
        <v>24</v>
      </c>
      <c r="T467" t="s">
        <v>316</v>
      </c>
    </row>
    <row r="468" spans="1:20" x14ac:dyDescent="0.25">
      <c r="A468">
        <v>67</v>
      </c>
      <c r="B468" t="str">
        <f>HYPERLINK("https://imapinvasives.natureserve.org/imap/services/page/Presence/1441679.html", "View")</f>
        <v>View</v>
      </c>
      <c r="C468">
        <v>1441679</v>
      </c>
      <c r="D468">
        <v>1456163</v>
      </c>
      <c r="E468" t="str">
        <f>HYPERLINK("http://imap3images.s3-website-us-east-1.amazonaws.com/1456163/p/imap_app_photo_1724290086708.jpg", "View")</f>
        <v>View</v>
      </c>
      <c r="F468" t="s">
        <v>140</v>
      </c>
      <c r="G468" t="s">
        <v>141</v>
      </c>
      <c r="H468">
        <v>914922</v>
      </c>
      <c r="I468" t="str">
        <f t="shared" si="19"/>
        <v>View</v>
      </c>
      <c r="J468" t="s">
        <v>142</v>
      </c>
      <c r="K468" t="s">
        <v>143</v>
      </c>
      <c r="L468">
        <v>914922</v>
      </c>
      <c r="M468">
        <v>16.48</v>
      </c>
      <c r="N468">
        <v>78.739999999999995</v>
      </c>
      <c r="P468">
        <v>1</v>
      </c>
      <c r="R468" t="s">
        <v>23</v>
      </c>
      <c r="S468" t="s">
        <v>33</v>
      </c>
      <c r="T468" t="s">
        <v>317</v>
      </c>
    </row>
    <row r="469" spans="1:20" x14ac:dyDescent="0.25">
      <c r="A469">
        <v>68</v>
      </c>
      <c r="B469" t="str">
        <f>HYPERLINK("https://imapinvasives.natureserve.org/imap/services/page/Presence/1324356.html", "View")</f>
        <v>View</v>
      </c>
      <c r="C469">
        <v>1324356</v>
      </c>
      <c r="D469">
        <v>1337065</v>
      </c>
      <c r="E469" t="str">
        <f>HYPERLINK("http://imap3images.s3-website-us-east-1.amazonaws.com/1337065/p/imap_app_photo_1680727246129.jpg", "View")</f>
        <v>View</v>
      </c>
      <c r="F469" t="s">
        <v>140</v>
      </c>
      <c r="G469" t="s">
        <v>141</v>
      </c>
      <c r="H469">
        <v>914922</v>
      </c>
      <c r="I469" t="str">
        <f t="shared" si="19"/>
        <v>View</v>
      </c>
      <c r="J469" t="s">
        <v>142</v>
      </c>
      <c r="K469" t="s">
        <v>143</v>
      </c>
      <c r="L469">
        <v>914922</v>
      </c>
      <c r="M469">
        <v>20.27</v>
      </c>
      <c r="N469">
        <v>43.56</v>
      </c>
      <c r="P469">
        <v>1</v>
      </c>
      <c r="R469" t="s">
        <v>23</v>
      </c>
      <c r="S469" t="s">
        <v>64</v>
      </c>
      <c r="T469" t="s">
        <v>317</v>
      </c>
    </row>
    <row r="470" spans="1:20" x14ac:dyDescent="0.25">
      <c r="A470">
        <v>69</v>
      </c>
      <c r="B470" t="str">
        <f>HYPERLINK("https://imapinvasives.natureserve.org/imap/services/page/Presence/1145572.html", "View")</f>
        <v>View</v>
      </c>
      <c r="C470">
        <v>1145572</v>
      </c>
      <c r="D470">
        <v>1152104</v>
      </c>
      <c r="E470" t="str">
        <f>HYPERLINK("http://imap3images.s3-website-us-east-1.amazonaws.com/1152104/p/imap_app_photo_1623454842153.jpg", "View")</f>
        <v>View</v>
      </c>
      <c r="F470" t="s">
        <v>140</v>
      </c>
      <c r="G470" t="s">
        <v>141</v>
      </c>
      <c r="H470">
        <v>914922</v>
      </c>
      <c r="I470" t="str">
        <f t="shared" si="19"/>
        <v>View</v>
      </c>
      <c r="J470" t="s">
        <v>142</v>
      </c>
      <c r="K470" t="s">
        <v>143</v>
      </c>
      <c r="L470">
        <v>914922</v>
      </c>
      <c r="M470">
        <v>20.27</v>
      </c>
      <c r="N470">
        <v>96.52</v>
      </c>
      <c r="P470">
        <v>1</v>
      </c>
      <c r="R470" t="s">
        <v>23</v>
      </c>
      <c r="S470" t="s">
        <v>24</v>
      </c>
      <c r="T470" t="s">
        <v>316</v>
      </c>
    </row>
    <row r="471" spans="1:20" x14ac:dyDescent="0.25">
      <c r="A471">
        <v>70</v>
      </c>
      <c r="B471" t="str">
        <f>HYPERLINK("https://imapinvasives.natureserve.org/imap/services/page/Presence/1408865.html", "View")</f>
        <v>View</v>
      </c>
      <c r="C471">
        <v>1408865</v>
      </c>
      <c r="D471">
        <v>1421264</v>
      </c>
      <c r="E471" t="str">
        <f>HYPERLINK("http://imap3images.s3-website-us-east-1.amazonaws.com/1421264/p/image.jpg", "View")</f>
        <v>View</v>
      </c>
      <c r="F471" t="s">
        <v>140</v>
      </c>
      <c r="G471" t="s">
        <v>141</v>
      </c>
      <c r="H471">
        <v>914922</v>
      </c>
      <c r="I471" t="str">
        <f>HYPERLINK("https://www.inaturalist.org/taxa/429454-Syringa-meyeri", "View")</f>
        <v>View</v>
      </c>
      <c r="J471" t="s">
        <v>161</v>
      </c>
      <c r="K471" t="s">
        <v>162</v>
      </c>
      <c r="L471">
        <v>429454</v>
      </c>
      <c r="M471">
        <v>14.73</v>
      </c>
      <c r="N471">
        <v>9.2899999999999991</v>
      </c>
      <c r="P471">
        <v>0</v>
      </c>
      <c r="R471" t="s">
        <v>29</v>
      </c>
      <c r="S471" t="s">
        <v>64</v>
      </c>
      <c r="T471" t="s">
        <v>317</v>
      </c>
    </row>
    <row r="472" spans="1:20" x14ac:dyDescent="0.25">
      <c r="A472">
        <v>71</v>
      </c>
      <c r="B472" t="str">
        <f>HYPERLINK("https://imapinvasives.natureserve.org/imap/services/page/Presence/1178739.html", "View")</f>
        <v>View</v>
      </c>
      <c r="C472">
        <v>1178739</v>
      </c>
      <c r="D472">
        <v>1186315</v>
      </c>
      <c r="E472" t="str">
        <f>HYPERLINK("http://imap3images.s3-website-us-east-1.amazonaws.com/1186315/p/DSCN0017_(1).JPG", "View")</f>
        <v>View</v>
      </c>
      <c r="F472" t="s">
        <v>140</v>
      </c>
      <c r="G472" t="s">
        <v>141</v>
      </c>
      <c r="H472">
        <v>914922</v>
      </c>
      <c r="I472" t="str">
        <f>HYPERLINK("https://www.inaturalist.org/taxa/914922-Reynoutria-japonica", "View")</f>
        <v>View</v>
      </c>
      <c r="J472" t="s">
        <v>142</v>
      </c>
      <c r="K472" t="s">
        <v>143</v>
      </c>
      <c r="L472">
        <v>914922</v>
      </c>
      <c r="M472">
        <v>25.23</v>
      </c>
      <c r="N472">
        <v>35.380000000000003</v>
      </c>
      <c r="P472">
        <v>1</v>
      </c>
      <c r="R472" t="s">
        <v>23</v>
      </c>
      <c r="S472" t="s">
        <v>79</v>
      </c>
      <c r="T472" t="s">
        <v>317</v>
      </c>
    </row>
    <row r="473" spans="1:20" x14ac:dyDescent="0.25">
      <c r="A473">
        <v>72</v>
      </c>
      <c r="B473" t="str">
        <f>HYPERLINK("https://imapinvasives.natureserve.org/imap/services/page/Presence/1411900.html", "View")</f>
        <v>View</v>
      </c>
      <c r="C473">
        <v>1411900</v>
      </c>
      <c r="D473">
        <v>1424576</v>
      </c>
      <c r="E473" t="str">
        <f>HYPERLINK("http://imap3images.s3-website-us-east-1.amazonaws.com/1424576/p/imap_app_photo_1718555408983.jpg", "View")</f>
        <v>View</v>
      </c>
      <c r="F473" t="s">
        <v>140</v>
      </c>
      <c r="G473" t="s">
        <v>141</v>
      </c>
      <c r="H473">
        <v>914922</v>
      </c>
      <c r="I473" t="str">
        <f>HYPERLINK("https://www.inaturalist.org/taxa/47891-Impatiens-pallida", "View")</f>
        <v>View</v>
      </c>
      <c r="J473" t="s">
        <v>163</v>
      </c>
      <c r="K473" t="s">
        <v>164</v>
      </c>
      <c r="L473">
        <v>47891</v>
      </c>
      <c r="M473">
        <v>32.42</v>
      </c>
      <c r="N473">
        <v>11.95</v>
      </c>
      <c r="P473">
        <v>0</v>
      </c>
      <c r="R473" t="s">
        <v>40</v>
      </c>
      <c r="S473" t="s">
        <v>79</v>
      </c>
      <c r="T473" t="s">
        <v>317</v>
      </c>
    </row>
    <row r="474" spans="1:20" x14ac:dyDescent="0.25">
      <c r="A474">
        <v>73</v>
      </c>
      <c r="B474" t="str">
        <f>HYPERLINK("https://imapinvasives.natureserve.org/imap/services/page/Presence/1161993.html", "View")</f>
        <v>View</v>
      </c>
      <c r="C474">
        <v>1161993</v>
      </c>
      <c r="D474">
        <v>1169147</v>
      </c>
      <c r="E474" t="str">
        <f>HYPERLINK("http://imap3images.s3-website-us-east-1.amazonaws.com/1169147/p/imap_app_photo_1630962960058.jpg", "View")</f>
        <v>View</v>
      </c>
      <c r="F474" t="s">
        <v>140</v>
      </c>
      <c r="G474" t="s">
        <v>141</v>
      </c>
      <c r="H474">
        <v>914922</v>
      </c>
      <c r="I474" t="str">
        <f t="shared" ref="I474:I487" si="20">HYPERLINK("https://www.inaturalist.org/taxa/914922-Reynoutria-japonica", "View")</f>
        <v>View</v>
      </c>
      <c r="J474" t="s">
        <v>142</v>
      </c>
      <c r="K474" t="s">
        <v>143</v>
      </c>
      <c r="L474">
        <v>914922</v>
      </c>
      <c r="M474">
        <v>31.38</v>
      </c>
      <c r="N474">
        <v>91.64</v>
      </c>
      <c r="P474">
        <v>1</v>
      </c>
      <c r="R474" t="s">
        <v>23</v>
      </c>
      <c r="S474" t="s">
        <v>24</v>
      </c>
      <c r="T474" t="s">
        <v>316</v>
      </c>
    </row>
    <row r="475" spans="1:20" x14ac:dyDescent="0.25">
      <c r="A475">
        <v>74</v>
      </c>
      <c r="B475" t="str">
        <f>HYPERLINK("https://imapinvasives.natureserve.org/imap/services/page/Presence/1354765.html", "View")</f>
        <v>View</v>
      </c>
      <c r="C475">
        <v>1354765</v>
      </c>
      <c r="D475">
        <v>1372341</v>
      </c>
      <c r="E475" t="str">
        <f>HYPERLINK("http://imap3images.s3-website-us-east-1.amazonaws.com/1372341/p/imap_app_photo_1695658066732.jpg", "View")</f>
        <v>View</v>
      </c>
      <c r="F475" t="s">
        <v>140</v>
      </c>
      <c r="G475" t="s">
        <v>141</v>
      </c>
      <c r="H475">
        <v>914922</v>
      </c>
      <c r="I475" t="str">
        <f t="shared" si="20"/>
        <v>View</v>
      </c>
      <c r="J475" t="s">
        <v>142</v>
      </c>
      <c r="K475" t="s">
        <v>143</v>
      </c>
      <c r="L475">
        <v>914922</v>
      </c>
      <c r="M475">
        <v>20.27</v>
      </c>
      <c r="N475">
        <v>93.09</v>
      </c>
      <c r="P475">
        <v>1</v>
      </c>
      <c r="R475" t="s">
        <v>23</v>
      </c>
      <c r="S475" t="s">
        <v>79</v>
      </c>
      <c r="T475" t="s">
        <v>317</v>
      </c>
    </row>
    <row r="476" spans="1:20" x14ac:dyDescent="0.25">
      <c r="A476">
        <v>75</v>
      </c>
      <c r="B476" t="str">
        <f>HYPERLINK("https://imapinvasives.natureserve.org/imap/services/page/Presence/1398739.html", "View")</f>
        <v>View</v>
      </c>
      <c r="C476">
        <v>1398739</v>
      </c>
      <c r="D476">
        <v>1415831</v>
      </c>
      <c r="E476" t="str">
        <f>HYPERLINK("http://imap3images.s3-website-us-east-1.amazonaws.com/1415831/p/imap_app_photo_1715560912061.jpg", "View")</f>
        <v>View</v>
      </c>
      <c r="F476" t="s">
        <v>140</v>
      </c>
      <c r="G476" t="s">
        <v>141</v>
      </c>
      <c r="H476">
        <v>914922</v>
      </c>
      <c r="I476" t="str">
        <f t="shared" si="20"/>
        <v>View</v>
      </c>
      <c r="J476" t="s">
        <v>142</v>
      </c>
      <c r="K476" t="s">
        <v>143</v>
      </c>
      <c r="L476">
        <v>914922</v>
      </c>
      <c r="M476">
        <v>36.409999999999997</v>
      </c>
      <c r="N476">
        <v>99.47</v>
      </c>
      <c r="P476">
        <v>1</v>
      </c>
      <c r="R476" t="s">
        <v>23</v>
      </c>
      <c r="S476" t="s">
        <v>24</v>
      </c>
      <c r="T476" t="s">
        <v>316</v>
      </c>
    </row>
    <row r="477" spans="1:20" x14ac:dyDescent="0.25">
      <c r="A477">
        <v>76</v>
      </c>
      <c r="B477" t="str">
        <f>HYPERLINK("https://imapinvasives.natureserve.org/imap/services/page/Presence/1178792.html", "View")</f>
        <v>View</v>
      </c>
      <c r="C477">
        <v>1178792</v>
      </c>
      <c r="D477">
        <v>1186368</v>
      </c>
      <c r="E477" t="str">
        <f>HYPERLINK("http://imap3images.s3-website-us-east-1.amazonaws.com/1186368/p/imap_app_photo_1635110442180.jpg", "View")</f>
        <v>View</v>
      </c>
      <c r="F477" t="s">
        <v>140</v>
      </c>
      <c r="G477" t="s">
        <v>141</v>
      </c>
      <c r="H477">
        <v>914922</v>
      </c>
      <c r="I477" t="str">
        <f t="shared" si="20"/>
        <v>View</v>
      </c>
      <c r="J477" t="s">
        <v>142</v>
      </c>
      <c r="K477" t="s">
        <v>143</v>
      </c>
      <c r="L477">
        <v>914922</v>
      </c>
      <c r="M477">
        <v>31.38</v>
      </c>
      <c r="N477">
        <v>99</v>
      </c>
      <c r="P477">
        <v>1</v>
      </c>
      <c r="R477" t="s">
        <v>23</v>
      </c>
      <c r="S477" t="s">
        <v>24</v>
      </c>
      <c r="T477" t="s">
        <v>316</v>
      </c>
    </row>
    <row r="478" spans="1:20" x14ac:dyDescent="0.25">
      <c r="A478">
        <v>77</v>
      </c>
      <c r="B478" t="str">
        <f>HYPERLINK("https://imapinvasives.natureserve.org/imap/services/page/Presence/1388752.html", "View")</f>
        <v>View</v>
      </c>
      <c r="C478">
        <v>1388752</v>
      </c>
      <c r="D478">
        <v>1406852</v>
      </c>
      <c r="E478" t="str">
        <f>HYPERLINK("http://imap3images.s3-website-us-east-1.amazonaws.com/1406852/p/imap_app_photo_1708133606541.jpg", "View")</f>
        <v>View</v>
      </c>
      <c r="F478" t="s">
        <v>140</v>
      </c>
      <c r="G478" t="s">
        <v>141</v>
      </c>
      <c r="H478">
        <v>914922</v>
      </c>
      <c r="I478" t="str">
        <f t="shared" si="20"/>
        <v>View</v>
      </c>
      <c r="J478" t="s">
        <v>142</v>
      </c>
      <c r="K478" t="s">
        <v>143</v>
      </c>
      <c r="L478">
        <v>914922</v>
      </c>
      <c r="M478">
        <v>27.73</v>
      </c>
      <c r="N478">
        <v>65.349999999999994</v>
      </c>
      <c r="P478">
        <v>1</v>
      </c>
      <c r="R478" t="s">
        <v>23</v>
      </c>
      <c r="S478" t="s">
        <v>64</v>
      </c>
      <c r="T478" t="s">
        <v>317</v>
      </c>
    </row>
    <row r="479" spans="1:20" x14ac:dyDescent="0.25">
      <c r="A479">
        <v>78</v>
      </c>
      <c r="B479" t="str">
        <f>HYPERLINK("https://imapinvasives.natureserve.org/imap/services/page/Presence/1284069.html", "View")</f>
        <v>View</v>
      </c>
      <c r="C479">
        <v>1284069</v>
      </c>
      <c r="D479">
        <v>1293641</v>
      </c>
      <c r="E479" t="str">
        <f>HYPERLINK("http://imap3images.s3-website-us-east-1.amazonaws.com/1293641/p/Photo2-20220727-145523.jpg", "View")</f>
        <v>View</v>
      </c>
      <c r="F479" t="s">
        <v>140</v>
      </c>
      <c r="G479" t="s">
        <v>141</v>
      </c>
      <c r="H479">
        <v>914922</v>
      </c>
      <c r="I479" t="str">
        <f t="shared" si="20"/>
        <v>View</v>
      </c>
      <c r="J479" t="s">
        <v>142</v>
      </c>
      <c r="K479" t="s">
        <v>143</v>
      </c>
      <c r="L479">
        <v>914922</v>
      </c>
      <c r="M479">
        <v>79.8</v>
      </c>
      <c r="N479">
        <v>41.54</v>
      </c>
      <c r="P479">
        <v>1</v>
      </c>
      <c r="R479" t="s">
        <v>40</v>
      </c>
      <c r="S479" t="s">
        <v>39</v>
      </c>
      <c r="T479" t="s">
        <v>317</v>
      </c>
    </row>
    <row r="480" spans="1:20" x14ac:dyDescent="0.25">
      <c r="A480">
        <v>79</v>
      </c>
      <c r="B480" t="str">
        <f>HYPERLINK("https://imapinvasives.natureserve.org/imap/services/page/Presence/1354765.html", "View")</f>
        <v>View</v>
      </c>
      <c r="C480">
        <v>1354765</v>
      </c>
      <c r="D480">
        <v>1372341</v>
      </c>
      <c r="E480" t="str">
        <f>HYPERLINK("http://imap3images.s3-website-us-east-1.amazonaws.com/1372341/p/imap_app_photo_1695658066732.jpg", "View")</f>
        <v>View</v>
      </c>
      <c r="F480" t="s">
        <v>140</v>
      </c>
      <c r="G480" t="s">
        <v>141</v>
      </c>
      <c r="H480">
        <v>914922</v>
      </c>
      <c r="I480" t="str">
        <f t="shared" si="20"/>
        <v>View</v>
      </c>
      <c r="J480" t="s">
        <v>142</v>
      </c>
      <c r="K480" t="s">
        <v>143</v>
      </c>
      <c r="L480">
        <v>914922</v>
      </c>
      <c r="M480">
        <v>20.27</v>
      </c>
      <c r="N480">
        <v>93.09</v>
      </c>
      <c r="P480">
        <v>1</v>
      </c>
      <c r="R480" t="s">
        <v>23</v>
      </c>
      <c r="S480" t="s">
        <v>79</v>
      </c>
      <c r="T480" t="s">
        <v>317</v>
      </c>
    </row>
    <row r="481" spans="1:20" x14ac:dyDescent="0.25">
      <c r="A481">
        <v>80</v>
      </c>
      <c r="B481" t="str">
        <f>HYPERLINK("https://imapinvasives.natureserve.org/imap/services/page/Presence/1442711.html", "View")</f>
        <v>View</v>
      </c>
      <c r="C481">
        <v>1442711</v>
      </c>
      <c r="D481">
        <v>1457286</v>
      </c>
      <c r="E481" t="str">
        <f>HYPERLINK("http://imap3images.s3-website-us-east-1.amazonaws.com/1457286/p/imap_app_photo_1724778360638.jpg", "View")</f>
        <v>View</v>
      </c>
      <c r="F481" t="s">
        <v>140</v>
      </c>
      <c r="G481" t="s">
        <v>141</v>
      </c>
      <c r="H481">
        <v>914922</v>
      </c>
      <c r="I481" t="str">
        <f t="shared" si="20"/>
        <v>View</v>
      </c>
      <c r="J481" t="s">
        <v>142</v>
      </c>
      <c r="K481" t="s">
        <v>143</v>
      </c>
      <c r="L481">
        <v>914922</v>
      </c>
      <c r="M481">
        <v>61.85</v>
      </c>
      <c r="N481">
        <v>96.19</v>
      </c>
      <c r="P481">
        <v>1</v>
      </c>
      <c r="R481" t="s">
        <v>23</v>
      </c>
      <c r="S481" t="s">
        <v>24</v>
      </c>
      <c r="T481" t="s">
        <v>316</v>
      </c>
    </row>
    <row r="482" spans="1:20" x14ac:dyDescent="0.25">
      <c r="A482">
        <v>81</v>
      </c>
      <c r="B482" t="str">
        <f>HYPERLINK("https://imapinvasives.natureserve.org/imap/services/page/Presence/1414497.html", "View")</f>
        <v>View</v>
      </c>
      <c r="C482">
        <v>1414497</v>
      </c>
      <c r="D482">
        <v>1428028</v>
      </c>
      <c r="E482" t="str">
        <f>HYPERLINK("http://imap3images.s3-website-us-east-1.amazonaws.com/1428028/p/imap_app_photo_1720025956150.jpg", "View")</f>
        <v>View</v>
      </c>
      <c r="F482" t="s">
        <v>140</v>
      </c>
      <c r="G482" t="s">
        <v>141</v>
      </c>
      <c r="H482">
        <v>914922</v>
      </c>
      <c r="I482" t="str">
        <f t="shared" si="20"/>
        <v>View</v>
      </c>
      <c r="J482" t="s">
        <v>142</v>
      </c>
      <c r="K482" t="s">
        <v>143</v>
      </c>
      <c r="L482">
        <v>914922</v>
      </c>
      <c r="M482">
        <v>19.75</v>
      </c>
      <c r="N482">
        <v>95.66</v>
      </c>
      <c r="P482">
        <v>1</v>
      </c>
      <c r="R482" t="s">
        <v>23</v>
      </c>
      <c r="S482" t="s">
        <v>24</v>
      </c>
      <c r="T482" t="s">
        <v>316</v>
      </c>
    </row>
    <row r="483" spans="1:20" x14ac:dyDescent="0.25">
      <c r="A483">
        <v>82</v>
      </c>
      <c r="B483" t="str">
        <f>HYPERLINK("https://imapinvasives.natureserve.org/imap/services/page/Presence/1416825.html", "View")</f>
        <v>View</v>
      </c>
      <c r="C483">
        <v>1416825</v>
      </c>
      <c r="D483">
        <v>1430364</v>
      </c>
      <c r="E483" t="str">
        <f>HYPERLINK("http://imap3images.s3-website-us-east-1.amazonaws.com/1430364/p/IMG_2397.jpeg", "View")</f>
        <v>View</v>
      </c>
      <c r="F483" t="s">
        <v>140</v>
      </c>
      <c r="G483" t="s">
        <v>141</v>
      </c>
      <c r="H483">
        <v>914922</v>
      </c>
      <c r="I483" t="str">
        <f t="shared" si="20"/>
        <v>View</v>
      </c>
      <c r="J483" t="s">
        <v>142</v>
      </c>
      <c r="K483" t="s">
        <v>143</v>
      </c>
      <c r="L483">
        <v>914922</v>
      </c>
      <c r="M483">
        <v>32.33</v>
      </c>
      <c r="N483">
        <v>67.23</v>
      </c>
      <c r="P483">
        <v>1</v>
      </c>
      <c r="R483" t="s">
        <v>23</v>
      </c>
      <c r="S483" t="s">
        <v>24</v>
      </c>
      <c r="T483" t="s">
        <v>316</v>
      </c>
    </row>
    <row r="484" spans="1:20" x14ac:dyDescent="0.25">
      <c r="A484">
        <v>83</v>
      </c>
      <c r="B484" t="str">
        <f>HYPERLINK("https://imapinvasives.natureserve.org/imap/services/page/Presence/1434170.html", "View")</f>
        <v>View</v>
      </c>
      <c r="C484">
        <v>1434170</v>
      </c>
      <c r="D484">
        <v>1447818</v>
      </c>
      <c r="E484" t="str">
        <f>HYPERLINK("http://imap3images.s3-website-us-east-1.amazonaws.com/1447818/p/imap_app_photo_1720727971247.jpg", "View")</f>
        <v>View</v>
      </c>
      <c r="F484" t="s">
        <v>140</v>
      </c>
      <c r="G484" t="s">
        <v>141</v>
      </c>
      <c r="H484">
        <v>914922</v>
      </c>
      <c r="I484" t="str">
        <f t="shared" si="20"/>
        <v>View</v>
      </c>
      <c r="J484" t="s">
        <v>142</v>
      </c>
      <c r="K484" t="s">
        <v>143</v>
      </c>
      <c r="L484">
        <v>914922</v>
      </c>
      <c r="M484">
        <v>29.01</v>
      </c>
      <c r="N484">
        <v>89.13</v>
      </c>
      <c r="P484">
        <v>1</v>
      </c>
      <c r="R484" t="s">
        <v>23</v>
      </c>
      <c r="S484" t="s">
        <v>24</v>
      </c>
      <c r="T484" t="s">
        <v>316</v>
      </c>
    </row>
    <row r="485" spans="1:20" x14ac:dyDescent="0.25">
      <c r="A485">
        <v>84</v>
      </c>
      <c r="B485" t="str">
        <f>HYPERLINK("https://imapinvasives.natureserve.org/imap/services/page/Presence/1407396.html", "View")</f>
        <v>View</v>
      </c>
      <c r="C485">
        <v>1407396</v>
      </c>
      <c r="D485">
        <v>1419783</v>
      </c>
      <c r="E485" t="str">
        <f>HYPERLINK("http://imap3images.s3-website-us-east-1.amazonaws.com/1419783/p/imap_app_photo_1715705030728.jpg", "View")</f>
        <v>View</v>
      </c>
      <c r="F485" t="s">
        <v>140</v>
      </c>
      <c r="G485" t="s">
        <v>141</v>
      </c>
      <c r="H485">
        <v>914922</v>
      </c>
      <c r="I485" t="str">
        <f t="shared" si="20"/>
        <v>View</v>
      </c>
      <c r="J485" t="s">
        <v>142</v>
      </c>
      <c r="K485" t="s">
        <v>143</v>
      </c>
      <c r="L485">
        <v>914922</v>
      </c>
      <c r="M485">
        <v>16.29</v>
      </c>
      <c r="N485">
        <v>52.72</v>
      </c>
      <c r="P485">
        <v>1</v>
      </c>
      <c r="R485" t="s">
        <v>23</v>
      </c>
      <c r="S485" t="s">
        <v>64</v>
      </c>
      <c r="T485" t="s">
        <v>317</v>
      </c>
    </row>
    <row r="486" spans="1:20" x14ac:dyDescent="0.25">
      <c r="A486">
        <v>85</v>
      </c>
      <c r="B486" t="str">
        <f>HYPERLINK("https://imapinvasives.natureserve.org/imap/services/page/Presence/1416825.html", "View")</f>
        <v>View</v>
      </c>
      <c r="C486">
        <v>1416825</v>
      </c>
      <c r="D486">
        <v>1430364</v>
      </c>
      <c r="E486" t="str">
        <f>HYPERLINK("http://imap3images.s3-website-us-east-1.amazonaws.com/1430364/p/IMG_2397.jpeg", "View")</f>
        <v>View</v>
      </c>
      <c r="F486" t="s">
        <v>140</v>
      </c>
      <c r="G486" t="s">
        <v>141</v>
      </c>
      <c r="H486">
        <v>914922</v>
      </c>
      <c r="I486" t="str">
        <f t="shared" si="20"/>
        <v>View</v>
      </c>
      <c r="J486" t="s">
        <v>142</v>
      </c>
      <c r="K486" t="s">
        <v>143</v>
      </c>
      <c r="L486">
        <v>914922</v>
      </c>
      <c r="M486">
        <v>32.33</v>
      </c>
      <c r="N486">
        <v>67.23</v>
      </c>
      <c r="P486">
        <v>1</v>
      </c>
      <c r="R486" t="s">
        <v>23</v>
      </c>
      <c r="S486" t="s">
        <v>24</v>
      </c>
      <c r="T486" t="s">
        <v>316</v>
      </c>
    </row>
    <row r="487" spans="1:20" x14ac:dyDescent="0.25">
      <c r="A487">
        <v>86</v>
      </c>
      <c r="B487" t="str">
        <f>HYPERLINK("https://imapinvasives.natureserve.org/imap/services/page/Presence/1414499.html", "View")</f>
        <v>View</v>
      </c>
      <c r="C487">
        <v>1414499</v>
      </c>
      <c r="D487">
        <v>1428030</v>
      </c>
      <c r="E487" t="str">
        <f>HYPERLINK("http://imap3images.s3-website-us-east-1.amazonaws.com/1428030/p/imap_app_photo_1720025963854.jpg", "View")</f>
        <v>View</v>
      </c>
      <c r="F487" t="s">
        <v>140</v>
      </c>
      <c r="G487" t="s">
        <v>141</v>
      </c>
      <c r="H487">
        <v>914922</v>
      </c>
      <c r="I487" t="str">
        <f t="shared" si="20"/>
        <v>View</v>
      </c>
      <c r="J487" t="s">
        <v>142</v>
      </c>
      <c r="K487" t="s">
        <v>143</v>
      </c>
      <c r="L487">
        <v>914922</v>
      </c>
      <c r="M487">
        <v>19.75</v>
      </c>
      <c r="N487">
        <v>83.69</v>
      </c>
      <c r="P487">
        <v>1</v>
      </c>
      <c r="R487" t="s">
        <v>23</v>
      </c>
      <c r="S487" t="s">
        <v>39</v>
      </c>
      <c r="T487" t="s">
        <v>317</v>
      </c>
    </row>
    <row r="488" spans="1:20" x14ac:dyDescent="0.25">
      <c r="A488">
        <v>87</v>
      </c>
      <c r="B488" t="str">
        <f>HYPERLINK("https://imapinvasives.natureserve.org/imap/services/page/Presence/1018860.html", "View")</f>
        <v>View</v>
      </c>
      <c r="C488">
        <v>1018860</v>
      </c>
      <c r="D488">
        <v>1019381</v>
      </c>
      <c r="E488" t="str">
        <f>HYPERLINK("http://imap3images.s3-website-us-east-1.amazonaws.com/1019381/p/imap_app_photo_1561930862876.jpg", "View")</f>
        <v>View</v>
      </c>
      <c r="F488" t="s">
        <v>140</v>
      </c>
      <c r="G488" t="s">
        <v>141</v>
      </c>
      <c r="H488">
        <v>914922</v>
      </c>
      <c r="I488" t="str">
        <f>HYPERLINK("https://www.inaturalist.org/taxa/46260-Tamiasciurus-hudsonicus", "View")</f>
        <v>View</v>
      </c>
      <c r="J488" t="s">
        <v>165</v>
      </c>
      <c r="K488" t="s">
        <v>166</v>
      </c>
      <c r="L488">
        <v>46260</v>
      </c>
      <c r="M488">
        <v>20.329999999999998</v>
      </c>
      <c r="N488">
        <v>20.54</v>
      </c>
      <c r="P488">
        <v>0</v>
      </c>
      <c r="R488" t="s">
        <v>29</v>
      </c>
      <c r="S488" t="s">
        <v>33</v>
      </c>
      <c r="T488" t="s">
        <v>317</v>
      </c>
    </row>
    <row r="489" spans="1:20" x14ac:dyDescent="0.25">
      <c r="A489">
        <v>88</v>
      </c>
      <c r="B489" t="str">
        <f>HYPERLINK("https://imapinvasives.natureserve.org/imap/services/page/Presence/1327400.html", "View")</f>
        <v>View</v>
      </c>
      <c r="C489">
        <v>1327400</v>
      </c>
      <c r="D489">
        <v>1340350</v>
      </c>
      <c r="E489" t="str">
        <f>HYPERLINK("http://imap3images.s3-website-us-east-1.amazonaws.com/1340350/p/Photo2-20230502-182453.jpg", "View")</f>
        <v>View</v>
      </c>
      <c r="F489" t="s">
        <v>140</v>
      </c>
      <c r="G489" t="s">
        <v>141</v>
      </c>
      <c r="H489">
        <v>914922</v>
      </c>
      <c r="I489" t="str">
        <f t="shared" ref="I489:I501" si="21">HYPERLINK("https://www.inaturalist.org/taxa/914922-Reynoutria-japonica", "View")</f>
        <v>View</v>
      </c>
      <c r="J489" t="s">
        <v>142</v>
      </c>
      <c r="K489" t="s">
        <v>143</v>
      </c>
      <c r="L489">
        <v>914922</v>
      </c>
      <c r="M489">
        <v>79.8</v>
      </c>
      <c r="N489">
        <v>85.34</v>
      </c>
      <c r="P489">
        <v>1</v>
      </c>
      <c r="R489" t="s">
        <v>23</v>
      </c>
      <c r="S489" t="s">
        <v>24</v>
      </c>
      <c r="T489" t="s">
        <v>316</v>
      </c>
    </row>
    <row r="490" spans="1:20" x14ac:dyDescent="0.25">
      <c r="A490">
        <v>89</v>
      </c>
      <c r="B490" t="str">
        <f>HYPERLINK("https://imapinvasives.natureserve.org/imap/services/page/Presence/1407396.html", "View")</f>
        <v>View</v>
      </c>
      <c r="C490">
        <v>1407396</v>
      </c>
      <c r="D490">
        <v>1419783</v>
      </c>
      <c r="E490" t="str">
        <f>HYPERLINK("http://imap3images.s3-website-us-east-1.amazonaws.com/1419783/p/imap_app_photo_1715705030728.jpg", "View")</f>
        <v>View</v>
      </c>
      <c r="F490" t="s">
        <v>140</v>
      </c>
      <c r="G490" t="s">
        <v>141</v>
      </c>
      <c r="H490">
        <v>914922</v>
      </c>
      <c r="I490" t="str">
        <f t="shared" si="21"/>
        <v>View</v>
      </c>
      <c r="J490" t="s">
        <v>142</v>
      </c>
      <c r="K490" t="s">
        <v>143</v>
      </c>
      <c r="L490">
        <v>914922</v>
      </c>
      <c r="M490">
        <v>16.29</v>
      </c>
      <c r="N490">
        <v>52.72</v>
      </c>
      <c r="P490">
        <v>1</v>
      </c>
      <c r="R490" t="s">
        <v>23</v>
      </c>
      <c r="S490" t="s">
        <v>64</v>
      </c>
      <c r="T490" t="s">
        <v>317</v>
      </c>
    </row>
    <row r="491" spans="1:20" x14ac:dyDescent="0.25">
      <c r="A491">
        <v>90</v>
      </c>
      <c r="B491" t="str">
        <f>HYPERLINK("https://imapinvasives.natureserve.org/imap/services/page/Presence/1272967.html", "View")</f>
        <v>View</v>
      </c>
      <c r="C491">
        <v>1272967</v>
      </c>
      <c r="D491">
        <v>1282100</v>
      </c>
      <c r="E491" t="str">
        <f>HYPERLINK("http://imap3images.s3-website-us-east-1.amazonaws.com/1282100/p/imap_app_photo_1653589044499.jpg", "View")</f>
        <v>View</v>
      </c>
      <c r="F491" t="s">
        <v>140</v>
      </c>
      <c r="G491" t="s">
        <v>141</v>
      </c>
      <c r="H491">
        <v>914922</v>
      </c>
      <c r="I491" t="str">
        <f t="shared" si="21"/>
        <v>View</v>
      </c>
      <c r="J491" t="s">
        <v>142</v>
      </c>
      <c r="K491" t="s">
        <v>143</v>
      </c>
      <c r="L491">
        <v>914922</v>
      </c>
      <c r="M491">
        <v>55.39</v>
      </c>
      <c r="N491">
        <v>99.32</v>
      </c>
      <c r="P491">
        <v>1</v>
      </c>
      <c r="R491" t="s">
        <v>23</v>
      </c>
      <c r="S491" t="s">
        <v>24</v>
      </c>
      <c r="T491" t="s">
        <v>316</v>
      </c>
    </row>
    <row r="492" spans="1:20" x14ac:dyDescent="0.25">
      <c r="A492">
        <v>91</v>
      </c>
      <c r="B492" t="str">
        <f>HYPERLINK("https://imapinvasives.natureserve.org/imap/services/page/Presence/1179962.html", "View")</f>
        <v>View</v>
      </c>
      <c r="C492">
        <v>1179962</v>
      </c>
      <c r="D492">
        <v>1187806</v>
      </c>
      <c r="E492" t="str">
        <f>HYPERLINK("http://imap3images.s3-website-us-east-1.amazonaws.com/1187806/p/imap_app_photo_1636125134792.jpg", "View")</f>
        <v>View</v>
      </c>
      <c r="F492" t="s">
        <v>140</v>
      </c>
      <c r="G492" t="s">
        <v>141</v>
      </c>
      <c r="H492">
        <v>914922</v>
      </c>
      <c r="I492" t="str">
        <f t="shared" si="21"/>
        <v>View</v>
      </c>
      <c r="J492" t="s">
        <v>142</v>
      </c>
      <c r="K492" t="s">
        <v>143</v>
      </c>
      <c r="L492">
        <v>914922</v>
      </c>
      <c r="M492">
        <v>23.54</v>
      </c>
      <c r="N492">
        <v>51.88</v>
      </c>
      <c r="P492">
        <v>1</v>
      </c>
      <c r="R492" t="s">
        <v>40</v>
      </c>
      <c r="S492" t="s">
        <v>34</v>
      </c>
      <c r="T492" t="s">
        <v>317</v>
      </c>
    </row>
    <row r="493" spans="1:20" x14ac:dyDescent="0.25">
      <c r="A493">
        <v>92</v>
      </c>
      <c r="B493" t="str">
        <f>HYPERLINK("https://imapinvasives.natureserve.org/imap/services/page/Presence/1327759.html", "View")</f>
        <v>View</v>
      </c>
      <c r="C493">
        <v>1327759</v>
      </c>
      <c r="D493">
        <v>1340753</v>
      </c>
      <c r="E493" t="str">
        <f>HYPERLINK("http://imap3images.s3-website-us-east-1.amazonaws.com/1340753/p/imap_app_photo_1683160660679.jpg", "View")</f>
        <v>View</v>
      </c>
      <c r="F493" t="s">
        <v>140</v>
      </c>
      <c r="G493" t="s">
        <v>141</v>
      </c>
      <c r="H493">
        <v>914922</v>
      </c>
      <c r="I493" t="str">
        <f t="shared" si="21"/>
        <v>View</v>
      </c>
      <c r="J493" t="s">
        <v>142</v>
      </c>
      <c r="K493" t="s">
        <v>143</v>
      </c>
      <c r="L493">
        <v>914922</v>
      </c>
      <c r="M493">
        <v>55.39</v>
      </c>
      <c r="N493">
        <v>98.82</v>
      </c>
      <c r="P493">
        <v>1</v>
      </c>
      <c r="R493" t="s">
        <v>23</v>
      </c>
      <c r="S493" t="s">
        <v>24</v>
      </c>
      <c r="T493" t="s">
        <v>316</v>
      </c>
    </row>
    <row r="494" spans="1:20" x14ac:dyDescent="0.25">
      <c r="A494">
        <v>93</v>
      </c>
      <c r="B494" t="str">
        <f>HYPERLINK("https://imapinvasives.natureserve.org/imap/services/page/Presence/1332044.html", "View")</f>
        <v>View</v>
      </c>
      <c r="C494">
        <v>1332044</v>
      </c>
      <c r="D494">
        <v>1345710</v>
      </c>
      <c r="E494" t="str">
        <f>HYPERLINK("http://imap3images.s3-website-us-east-1.amazonaws.com/1345710/p/imap_app_photo_1685103511985.jpg", "View")</f>
        <v>View</v>
      </c>
      <c r="F494" t="s">
        <v>140</v>
      </c>
      <c r="G494" t="s">
        <v>141</v>
      </c>
      <c r="H494">
        <v>914922</v>
      </c>
      <c r="I494" t="str">
        <f t="shared" si="21"/>
        <v>View</v>
      </c>
      <c r="J494" t="s">
        <v>142</v>
      </c>
      <c r="K494" t="s">
        <v>143</v>
      </c>
      <c r="L494">
        <v>914922</v>
      </c>
      <c r="M494">
        <v>14.56</v>
      </c>
      <c r="N494">
        <v>58.3</v>
      </c>
      <c r="P494">
        <v>1</v>
      </c>
      <c r="R494" t="s">
        <v>23</v>
      </c>
      <c r="S494" t="s">
        <v>64</v>
      </c>
      <c r="T494" t="s">
        <v>317</v>
      </c>
    </row>
    <row r="495" spans="1:20" x14ac:dyDescent="0.25">
      <c r="A495">
        <v>94</v>
      </c>
      <c r="B495" t="str">
        <f>HYPERLINK("https://imapinvasives.natureserve.org/imap/services/page/Presence/1398739.html", "View")</f>
        <v>View</v>
      </c>
      <c r="C495">
        <v>1398739</v>
      </c>
      <c r="D495">
        <v>1415831</v>
      </c>
      <c r="E495" t="str">
        <f>HYPERLINK("http://imap3images.s3-website-us-east-1.amazonaws.com/1415831/p/imap_app_photo_1715560912061.jpg", "View")</f>
        <v>View</v>
      </c>
      <c r="F495" t="s">
        <v>140</v>
      </c>
      <c r="G495" t="s">
        <v>141</v>
      </c>
      <c r="H495">
        <v>914922</v>
      </c>
      <c r="I495" t="str">
        <f t="shared" si="21"/>
        <v>View</v>
      </c>
      <c r="J495" t="s">
        <v>142</v>
      </c>
      <c r="K495" t="s">
        <v>143</v>
      </c>
      <c r="L495">
        <v>914922</v>
      </c>
      <c r="M495">
        <v>36.409999999999997</v>
      </c>
      <c r="N495">
        <v>99.47</v>
      </c>
      <c r="P495">
        <v>1</v>
      </c>
      <c r="R495" t="s">
        <v>23</v>
      </c>
      <c r="S495" t="s">
        <v>24</v>
      </c>
      <c r="T495" t="s">
        <v>316</v>
      </c>
    </row>
    <row r="496" spans="1:20" x14ac:dyDescent="0.25">
      <c r="A496">
        <v>95</v>
      </c>
      <c r="B496" t="str">
        <f>HYPERLINK("https://imapinvasives.natureserve.org/imap/services/page/Presence/1395703.html", "View")</f>
        <v>View</v>
      </c>
      <c r="C496">
        <v>1395703</v>
      </c>
      <c r="D496">
        <v>1414156</v>
      </c>
      <c r="E496" t="str">
        <f>HYPERLINK("http://imap3images.s3-website-us-east-1.amazonaws.com/1414156/p/1000025196.jpg", "View")</f>
        <v>View</v>
      </c>
      <c r="F496" t="s">
        <v>140</v>
      </c>
      <c r="G496" t="s">
        <v>141</v>
      </c>
      <c r="H496">
        <v>914922</v>
      </c>
      <c r="I496" t="str">
        <f t="shared" si="21"/>
        <v>View</v>
      </c>
      <c r="J496" t="s">
        <v>142</v>
      </c>
      <c r="K496" t="s">
        <v>143</v>
      </c>
      <c r="L496">
        <v>914922</v>
      </c>
      <c r="M496">
        <v>29.01</v>
      </c>
      <c r="N496">
        <v>85.34</v>
      </c>
      <c r="P496">
        <v>1</v>
      </c>
      <c r="R496" t="s">
        <v>23</v>
      </c>
      <c r="S496" t="s">
        <v>24</v>
      </c>
      <c r="T496" t="s">
        <v>316</v>
      </c>
    </row>
    <row r="497" spans="1:20" x14ac:dyDescent="0.25">
      <c r="A497">
        <v>96</v>
      </c>
      <c r="B497" t="str">
        <f>HYPERLINK("https://imapinvasives.natureserve.org/imap/services/page/Presence/1329267.html", "View")</f>
        <v>View</v>
      </c>
      <c r="C497">
        <v>1329267</v>
      </c>
      <c r="D497">
        <v>1342640</v>
      </c>
      <c r="E497" t="str">
        <f>HYPERLINK("http://imap3images.s3-website-us-east-1.amazonaws.com/1342640/p/imap_app_photo_1683922279800.jpg", "View")</f>
        <v>View</v>
      </c>
      <c r="F497" t="s">
        <v>140</v>
      </c>
      <c r="G497" t="s">
        <v>141</v>
      </c>
      <c r="H497">
        <v>914922</v>
      </c>
      <c r="I497" t="str">
        <f t="shared" si="21"/>
        <v>View</v>
      </c>
      <c r="J497" t="s">
        <v>142</v>
      </c>
      <c r="K497" t="s">
        <v>143</v>
      </c>
      <c r="L497">
        <v>914922</v>
      </c>
      <c r="M497">
        <v>79.8</v>
      </c>
      <c r="N497">
        <v>90.09</v>
      </c>
      <c r="P497">
        <v>1</v>
      </c>
      <c r="R497" t="s">
        <v>23</v>
      </c>
      <c r="S497" t="s">
        <v>39</v>
      </c>
      <c r="T497" t="s">
        <v>317</v>
      </c>
    </row>
    <row r="498" spans="1:20" x14ac:dyDescent="0.25">
      <c r="A498">
        <v>97</v>
      </c>
      <c r="B498" t="str">
        <f>HYPERLINK("https://imapinvasives.natureserve.org/imap/services/page/Presence/1274164.html", "View")</f>
        <v>View</v>
      </c>
      <c r="C498">
        <v>1274164</v>
      </c>
      <c r="D498">
        <v>1283376</v>
      </c>
      <c r="E498" t="str">
        <f>HYPERLINK("http://imap3images.s3-website-us-east-1.amazonaws.com/1283376/p/imap_app_photo_1655133135001.jpg", "View")</f>
        <v>View</v>
      </c>
      <c r="F498" t="s">
        <v>140</v>
      </c>
      <c r="G498" t="s">
        <v>141</v>
      </c>
      <c r="H498">
        <v>914922</v>
      </c>
      <c r="I498" t="str">
        <f t="shared" si="21"/>
        <v>View</v>
      </c>
      <c r="J498" t="s">
        <v>142</v>
      </c>
      <c r="K498" t="s">
        <v>143</v>
      </c>
      <c r="L498">
        <v>914922</v>
      </c>
      <c r="M498">
        <v>31.38</v>
      </c>
      <c r="N498">
        <v>97.66</v>
      </c>
      <c r="P498">
        <v>1</v>
      </c>
      <c r="R498" t="s">
        <v>23</v>
      </c>
      <c r="S498" t="s">
        <v>24</v>
      </c>
      <c r="T498" t="s">
        <v>316</v>
      </c>
    </row>
    <row r="499" spans="1:20" x14ac:dyDescent="0.25">
      <c r="A499">
        <v>98</v>
      </c>
      <c r="B499" t="str">
        <f>HYPERLINK("https://imapinvasives.natureserve.org/imap/services/page/Presence/1148542.html", "View")</f>
        <v>View</v>
      </c>
      <c r="C499">
        <v>1148542</v>
      </c>
      <c r="D499">
        <v>1155297</v>
      </c>
      <c r="E499" t="str">
        <f>HYPERLINK("http://imap3images.s3-website-us-east-1.amazonaws.com/1155297/p/117.JPG", "View")</f>
        <v>View</v>
      </c>
      <c r="F499" t="s">
        <v>140</v>
      </c>
      <c r="G499" t="s">
        <v>141</v>
      </c>
      <c r="H499">
        <v>914922</v>
      </c>
      <c r="I499" t="str">
        <f t="shared" si="21"/>
        <v>View</v>
      </c>
      <c r="J499" t="s">
        <v>142</v>
      </c>
      <c r="K499" t="s">
        <v>143</v>
      </c>
      <c r="L499">
        <v>914922</v>
      </c>
      <c r="M499">
        <v>16.29</v>
      </c>
      <c r="N499">
        <v>99.64</v>
      </c>
      <c r="P499">
        <v>1</v>
      </c>
      <c r="R499" t="s">
        <v>23</v>
      </c>
      <c r="S499" t="s">
        <v>24</v>
      </c>
      <c r="T499" t="s">
        <v>316</v>
      </c>
    </row>
    <row r="500" spans="1:20" x14ac:dyDescent="0.25">
      <c r="A500">
        <v>99</v>
      </c>
      <c r="B500" t="str">
        <f>HYPERLINK("https://imapinvasives.natureserve.org/imap/services/page/Presence/1045338.html", "View")</f>
        <v>View</v>
      </c>
      <c r="C500">
        <v>1045338</v>
      </c>
      <c r="D500">
        <v>1049246</v>
      </c>
      <c r="E500" t="str">
        <f>HYPERLINK("http://imap3images.s3-website-us-east-1.amazonaws.com/1049246/p/imap_app_photo_1588081462084.jpg", "View")</f>
        <v>View</v>
      </c>
      <c r="F500" t="s">
        <v>140</v>
      </c>
      <c r="G500" t="s">
        <v>141</v>
      </c>
      <c r="H500">
        <v>914922</v>
      </c>
      <c r="I500" t="str">
        <f t="shared" si="21"/>
        <v>View</v>
      </c>
      <c r="J500" t="s">
        <v>142</v>
      </c>
      <c r="K500" t="s">
        <v>143</v>
      </c>
      <c r="L500">
        <v>914922</v>
      </c>
      <c r="M500">
        <v>16.29</v>
      </c>
      <c r="N500">
        <v>19.5</v>
      </c>
      <c r="P500">
        <v>1</v>
      </c>
      <c r="R500" t="s">
        <v>23</v>
      </c>
      <c r="S500" t="s">
        <v>64</v>
      </c>
      <c r="T500" t="s">
        <v>317</v>
      </c>
    </row>
    <row r="501" spans="1:20" x14ac:dyDescent="0.25">
      <c r="A501">
        <v>100</v>
      </c>
      <c r="B501" t="str">
        <f>HYPERLINK("https://imapinvasives.natureserve.org/imap/services/page/Presence/1329269.html", "View")</f>
        <v>View</v>
      </c>
      <c r="C501">
        <v>1329269</v>
      </c>
      <c r="D501">
        <v>1342642</v>
      </c>
      <c r="E501" t="str">
        <f>HYPERLINK("http://imap3images.s3-website-us-east-1.amazonaws.com/1342642/p/imap_app_photo_1683922287131.jpg", "View")</f>
        <v>View</v>
      </c>
      <c r="F501" t="s">
        <v>140</v>
      </c>
      <c r="G501" t="s">
        <v>141</v>
      </c>
      <c r="H501">
        <v>914922</v>
      </c>
      <c r="I501" t="str">
        <f t="shared" si="21"/>
        <v>View</v>
      </c>
      <c r="J501" t="s">
        <v>142</v>
      </c>
      <c r="K501" t="s">
        <v>143</v>
      </c>
      <c r="L501">
        <v>914922</v>
      </c>
      <c r="M501">
        <v>79.8</v>
      </c>
      <c r="N501">
        <v>79.5</v>
      </c>
      <c r="P501">
        <v>1</v>
      </c>
      <c r="R501" t="s">
        <v>23</v>
      </c>
      <c r="S501" t="s">
        <v>24</v>
      </c>
      <c r="T501" t="s">
        <v>316</v>
      </c>
    </row>
    <row r="502" spans="1:20" x14ac:dyDescent="0.25">
      <c r="A502">
        <v>1</v>
      </c>
      <c r="B502" t="str">
        <f>HYPERLINK("https://imapinvasives.natureserve.org/imap/services/page/Presence/1062680.html", "View")</f>
        <v>View</v>
      </c>
      <c r="C502">
        <v>1062680</v>
      </c>
      <c r="D502">
        <v>1067350</v>
      </c>
      <c r="E502" t="str">
        <f>HYPERLINK("http://imap3images.s3-website-us-east-1.amazonaws.com/1067350/p/imap_app_photo_1597260248566.jpg", "View")</f>
        <v>View</v>
      </c>
      <c r="F502" t="s">
        <v>113</v>
      </c>
      <c r="G502" t="s">
        <v>167</v>
      </c>
      <c r="H502">
        <v>58727</v>
      </c>
      <c r="I502" t="str">
        <f t="shared" ref="I502:I516" si="22">HYPERLINK("https://www.inaturalist.org/taxa/58727-Berberis-thunbergii", "View")</f>
        <v>View</v>
      </c>
      <c r="J502" t="s">
        <v>113</v>
      </c>
      <c r="K502" t="s">
        <v>114</v>
      </c>
      <c r="L502">
        <v>58727</v>
      </c>
      <c r="M502">
        <v>25.76</v>
      </c>
      <c r="N502">
        <v>98.58</v>
      </c>
      <c r="P502">
        <v>1</v>
      </c>
      <c r="R502" t="s">
        <v>23</v>
      </c>
      <c r="S502" t="s">
        <v>24</v>
      </c>
      <c r="T502" t="s">
        <v>316</v>
      </c>
    </row>
    <row r="503" spans="1:20" x14ac:dyDescent="0.25">
      <c r="A503">
        <v>2</v>
      </c>
      <c r="B503" t="str">
        <f>HYPERLINK("https://imapinvasives.natureserve.org/imap/services/page/Presence/1337339.html", "View")</f>
        <v>View</v>
      </c>
      <c r="C503">
        <v>1337339</v>
      </c>
      <c r="D503">
        <v>1351867</v>
      </c>
      <c r="E503" t="str">
        <f>HYPERLINK("http://imap3images.s3-website-us-east-1.amazonaws.com/1351867/p/Photo2-20230623-192526.jpg", "View")</f>
        <v>View</v>
      </c>
      <c r="F503" t="s">
        <v>113</v>
      </c>
      <c r="G503" t="s">
        <v>167</v>
      </c>
      <c r="H503">
        <v>58727</v>
      </c>
      <c r="I503" t="str">
        <f t="shared" si="22"/>
        <v>View</v>
      </c>
      <c r="J503" t="s">
        <v>113</v>
      </c>
      <c r="K503" t="s">
        <v>114</v>
      </c>
      <c r="L503">
        <v>58727</v>
      </c>
      <c r="M503">
        <v>14.68</v>
      </c>
      <c r="N503">
        <v>81.400000000000006</v>
      </c>
      <c r="P503">
        <v>1</v>
      </c>
      <c r="R503" t="s">
        <v>23</v>
      </c>
      <c r="S503" t="s">
        <v>24</v>
      </c>
      <c r="T503" t="s">
        <v>316</v>
      </c>
    </row>
    <row r="504" spans="1:20" x14ac:dyDescent="0.25">
      <c r="A504">
        <v>3</v>
      </c>
      <c r="B504" t="str">
        <f>HYPERLINK("https://imapinvasives.natureserve.org/imap/services/page/Presence/528796.html", "View")</f>
        <v>View</v>
      </c>
      <c r="C504">
        <v>528796</v>
      </c>
      <c r="D504">
        <v>528796</v>
      </c>
      <c r="E504" t="str">
        <f>HYPERLINK("http://imap3images.s3-website-us-east-1.amazonaws.com/528796/p/photourl1_2018_07_17_jacsepulveda_8qfxvfbo.jpg", "View")</f>
        <v>View</v>
      </c>
      <c r="F504" t="s">
        <v>113</v>
      </c>
      <c r="G504" t="s">
        <v>167</v>
      </c>
      <c r="H504">
        <v>58727</v>
      </c>
      <c r="I504" t="str">
        <f t="shared" si="22"/>
        <v>View</v>
      </c>
      <c r="J504" t="s">
        <v>113</v>
      </c>
      <c r="K504" t="s">
        <v>114</v>
      </c>
      <c r="L504">
        <v>58727</v>
      </c>
      <c r="M504">
        <v>84.64</v>
      </c>
      <c r="N504">
        <v>99.64</v>
      </c>
      <c r="P504">
        <v>1</v>
      </c>
      <c r="R504" t="s">
        <v>23</v>
      </c>
      <c r="S504" t="s">
        <v>24</v>
      </c>
      <c r="T504" t="s">
        <v>316</v>
      </c>
    </row>
    <row r="505" spans="1:20" x14ac:dyDescent="0.25">
      <c r="A505">
        <v>4</v>
      </c>
      <c r="B505" t="str">
        <f>HYPERLINK("https://imapinvasives.natureserve.org/imap/services/page/Presence/1280200.html", "View")</f>
        <v>View</v>
      </c>
      <c r="C505">
        <v>1280200</v>
      </c>
      <c r="D505">
        <v>1289590</v>
      </c>
      <c r="E505" t="str">
        <f>HYPERLINK("http://imap3images.s3-website-us-east-1.amazonaws.com/1289590/p/imap_app_photo_1656437469294.jpg", "View")</f>
        <v>View</v>
      </c>
      <c r="F505" t="s">
        <v>113</v>
      </c>
      <c r="G505" t="s">
        <v>167</v>
      </c>
      <c r="H505">
        <v>58727</v>
      </c>
      <c r="I505" t="str">
        <f t="shared" si="22"/>
        <v>View</v>
      </c>
      <c r="J505" t="s">
        <v>113</v>
      </c>
      <c r="K505" t="s">
        <v>114</v>
      </c>
      <c r="L505">
        <v>58727</v>
      </c>
      <c r="M505">
        <v>26.4</v>
      </c>
      <c r="N505">
        <v>99.85</v>
      </c>
      <c r="P505">
        <v>1</v>
      </c>
      <c r="R505" t="s">
        <v>23</v>
      </c>
      <c r="S505" t="s">
        <v>24</v>
      </c>
      <c r="T505" t="s">
        <v>316</v>
      </c>
    </row>
    <row r="506" spans="1:20" x14ac:dyDescent="0.25">
      <c r="A506">
        <v>5</v>
      </c>
      <c r="B506" t="str">
        <f>HYPERLINK("https://imapinvasives.natureserve.org/imap/services/page/Presence/514200.html", "View")</f>
        <v>View</v>
      </c>
      <c r="C506">
        <v>514200</v>
      </c>
      <c r="D506">
        <v>514200</v>
      </c>
      <c r="E506" t="str">
        <f>HYPERLINK("http://imap3images.s3-website-us-east-1.amazonaws.com/514200/p/photourl1_2017_12_12_lucnuessle_afgy0ba3.jpg", "View")</f>
        <v>View</v>
      </c>
      <c r="F506" t="s">
        <v>113</v>
      </c>
      <c r="G506" t="s">
        <v>167</v>
      </c>
      <c r="H506">
        <v>58727</v>
      </c>
      <c r="I506" t="str">
        <f t="shared" si="22"/>
        <v>View</v>
      </c>
      <c r="J506" t="s">
        <v>113</v>
      </c>
      <c r="K506" t="s">
        <v>114</v>
      </c>
      <c r="L506">
        <v>58727</v>
      </c>
      <c r="M506">
        <v>15.33</v>
      </c>
      <c r="N506">
        <v>99.89</v>
      </c>
      <c r="P506">
        <v>1</v>
      </c>
      <c r="R506" t="s">
        <v>23</v>
      </c>
      <c r="S506" t="s">
        <v>24</v>
      </c>
      <c r="T506" t="s">
        <v>316</v>
      </c>
    </row>
    <row r="507" spans="1:20" x14ac:dyDescent="0.25">
      <c r="A507">
        <v>6</v>
      </c>
      <c r="B507" t="str">
        <f>HYPERLINK("https://imapinvasives.natureserve.org/imap/services/page/Presence/1152626.html", "View")</f>
        <v>View</v>
      </c>
      <c r="C507">
        <v>1152626</v>
      </c>
      <c r="D507">
        <v>1159561</v>
      </c>
      <c r="E507" t="str">
        <f>HYPERLINK("http://imap3images.s3-website-us-east-1.amazonaws.com/1159561/p/imap_app_photo_1627262471847.jpg", "View")</f>
        <v>View</v>
      </c>
      <c r="F507" t="s">
        <v>113</v>
      </c>
      <c r="G507" t="s">
        <v>167</v>
      </c>
      <c r="H507">
        <v>58727</v>
      </c>
      <c r="I507" t="str">
        <f t="shared" si="22"/>
        <v>View</v>
      </c>
      <c r="J507" t="s">
        <v>113</v>
      </c>
      <c r="K507" t="s">
        <v>114</v>
      </c>
      <c r="L507">
        <v>58727</v>
      </c>
      <c r="M507">
        <v>23.7</v>
      </c>
      <c r="N507">
        <v>99.88</v>
      </c>
      <c r="P507">
        <v>1</v>
      </c>
      <c r="R507" t="s">
        <v>23</v>
      </c>
      <c r="S507" t="s">
        <v>24</v>
      </c>
      <c r="T507" t="s">
        <v>316</v>
      </c>
    </row>
    <row r="508" spans="1:20" x14ac:dyDescent="0.25">
      <c r="A508">
        <v>7</v>
      </c>
      <c r="B508" t="str">
        <f>HYPERLINK("https://imapinvasives.natureserve.org/imap/services/page/Presence/514097.html", "View")</f>
        <v>View</v>
      </c>
      <c r="C508">
        <v>514097</v>
      </c>
      <c r="D508">
        <v>514097</v>
      </c>
      <c r="E508" t="str">
        <f>HYPERLINK("http://imap3images.s3-website-us-east-1.amazonaws.com/514097/p/photourl2_2017_08_22_heazimba_74l1qeog.jpg", "View")</f>
        <v>View</v>
      </c>
      <c r="F508" t="s">
        <v>113</v>
      </c>
      <c r="G508" t="s">
        <v>167</v>
      </c>
      <c r="H508">
        <v>58727</v>
      </c>
      <c r="I508" t="str">
        <f t="shared" si="22"/>
        <v>View</v>
      </c>
      <c r="J508" t="s">
        <v>113</v>
      </c>
      <c r="K508" t="s">
        <v>114</v>
      </c>
      <c r="L508">
        <v>58727</v>
      </c>
      <c r="M508">
        <v>22.3</v>
      </c>
      <c r="N508">
        <v>95.63</v>
      </c>
      <c r="P508">
        <v>1</v>
      </c>
      <c r="R508" t="s">
        <v>23</v>
      </c>
      <c r="S508" t="s">
        <v>24</v>
      </c>
      <c r="T508" t="s">
        <v>316</v>
      </c>
    </row>
    <row r="509" spans="1:20" x14ac:dyDescent="0.25">
      <c r="A509">
        <v>8</v>
      </c>
      <c r="B509" t="str">
        <f>HYPERLINK("https://imapinvasives.natureserve.org/imap/services/page/Presence/1136916.html", "View")</f>
        <v>View</v>
      </c>
      <c r="C509">
        <v>1136916</v>
      </c>
      <c r="D509">
        <v>1143331</v>
      </c>
      <c r="E509" t="str">
        <f>HYPERLINK("http://imap3images.s3-website-us-east-1.amazonaws.com/1143331/p/imap_app_photo_1620489425594.jpg", "View")</f>
        <v>View</v>
      </c>
      <c r="F509" t="s">
        <v>113</v>
      </c>
      <c r="G509" t="s">
        <v>167</v>
      </c>
      <c r="H509">
        <v>58727</v>
      </c>
      <c r="I509" t="str">
        <f t="shared" si="22"/>
        <v>View</v>
      </c>
      <c r="J509" t="s">
        <v>113</v>
      </c>
      <c r="K509" t="s">
        <v>114</v>
      </c>
      <c r="L509">
        <v>58727</v>
      </c>
      <c r="M509">
        <v>15.09</v>
      </c>
      <c r="N509">
        <v>99.91</v>
      </c>
      <c r="P509">
        <v>1</v>
      </c>
      <c r="R509" t="s">
        <v>23</v>
      </c>
      <c r="S509" t="s">
        <v>24</v>
      </c>
      <c r="T509" t="s">
        <v>316</v>
      </c>
    </row>
    <row r="510" spans="1:20" x14ac:dyDescent="0.25">
      <c r="A510">
        <v>9</v>
      </c>
      <c r="B510" t="str">
        <f>HYPERLINK("https://imapinvasives.natureserve.org/imap/services/page/Presence/1136812.html", "View")</f>
        <v>View</v>
      </c>
      <c r="C510">
        <v>1136812</v>
      </c>
      <c r="D510">
        <v>1143217</v>
      </c>
      <c r="E510" t="str">
        <f>HYPERLINK("http://imap3images.s3-website-us-east-1.amazonaws.com/1143217/p/imap_app_photo_1620235174464.jpg", "View")</f>
        <v>View</v>
      </c>
      <c r="F510" t="s">
        <v>113</v>
      </c>
      <c r="G510" t="s">
        <v>167</v>
      </c>
      <c r="H510">
        <v>58727</v>
      </c>
      <c r="I510" t="str">
        <f t="shared" si="22"/>
        <v>View</v>
      </c>
      <c r="J510" t="s">
        <v>113</v>
      </c>
      <c r="K510" t="s">
        <v>114</v>
      </c>
      <c r="L510">
        <v>58727</v>
      </c>
      <c r="M510">
        <v>6.33</v>
      </c>
      <c r="N510">
        <v>65.12</v>
      </c>
      <c r="P510">
        <v>1</v>
      </c>
      <c r="R510" t="s">
        <v>23</v>
      </c>
      <c r="S510" t="s">
        <v>33</v>
      </c>
      <c r="T510" t="s">
        <v>317</v>
      </c>
    </row>
    <row r="511" spans="1:20" x14ac:dyDescent="0.25">
      <c r="A511">
        <v>10</v>
      </c>
      <c r="B511" t="str">
        <f>HYPERLINK("https://imapinvasives.natureserve.org/imap/services/page/Presence/1435878.html", "View")</f>
        <v>View</v>
      </c>
      <c r="C511">
        <v>1435878</v>
      </c>
      <c r="D511">
        <v>1449623</v>
      </c>
      <c r="E511" t="str">
        <f>HYPERLINK("http://imap3images.s3-website-us-east-1.amazonaws.com/1449623/p/Photo_1.jpg", "View")</f>
        <v>View</v>
      </c>
      <c r="F511" t="s">
        <v>113</v>
      </c>
      <c r="G511" t="s">
        <v>167</v>
      </c>
      <c r="H511">
        <v>58727</v>
      </c>
      <c r="I511" t="str">
        <f t="shared" si="22"/>
        <v>View</v>
      </c>
      <c r="J511" t="s">
        <v>113</v>
      </c>
      <c r="K511" t="s">
        <v>114</v>
      </c>
      <c r="L511">
        <v>58727</v>
      </c>
      <c r="M511">
        <v>64.72</v>
      </c>
      <c r="N511">
        <v>99.63</v>
      </c>
      <c r="P511">
        <v>1</v>
      </c>
      <c r="R511" t="s">
        <v>23</v>
      </c>
      <c r="S511" t="s">
        <v>24</v>
      </c>
      <c r="T511" t="s">
        <v>316</v>
      </c>
    </row>
    <row r="512" spans="1:20" x14ac:dyDescent="0.25">
      <c r="A512">
        <v>11</v>
      </c>
      <c r="B512" t="str">
        <f>HYPERLINK("https://imapinvasives.natureserve.org/imap/services/page/Presence/1414041.html", "View")</f>
        <v>View</v>
      </c>
      <c r="C512">
        <v>1414041</v>
      </c>
      <c r="D512">
        <v>1427546</v>
      </c>
      <c r="E512" t="str">
        <f>HYPERLINK("http://imap3images.s3-website-us-east-1.amazonaws.com/1427546/p/imap_app_photo_1719863894391.jpg", "View")</f>
        <v>View</v>
      </c>
      <c r="F512" t="s">
        <v>113</v>
      </c>
      <c r="G512" t="s">
        <v>167</v>
      </c>
      <c r="H512">
        <v>58727</v>
      </c>
      <c r="I512" t="str">
        <f t="shared" si="22"/>
        <v>View</v>
      </c>
      <c r="J512" t="s">
        <v>113</v>
      </c>
      <c r="K512" t="s">
        <v>114</v>
      </c>
      <c r="L512">
        <v>58727</v>
      </c>
      <c r="M512">
        <v>15.09</v>
      </c>
      <c r="N512">
        <v>81.64</v>
      </c>
      <c r="P512">
        <v>1</v>
      </c>
      <c r="R512" t="s">
        <v>23</v>
      </c>
      <c r="S512" t="s">
        <v>24</v>
      </c>
      <c r="T512" t="s">
        <v>316</v>
      </c>
    </row>
    <row r="513" spans="1:20" x14ac:dyDescent="0.25">
      <c r="A513">
        <v>12</v>
      </c>
      <c r="B513" t="str">
        <f>HYPERLINK("https://imapinvasives.natureserve.org/imap/services/page/Presence/1287218.html", "View")</f>
        <v>View</v>
      </c>
      <c r="C513">
        <v>1287218</v>
      </c>
      <c r="D513">
        <v>1297099</v>
      </c>
      <c r="E513" t="str">
        <f>HYPERLINK("http://imap3images.s3-website-us-east-1.amazonaws.com/1297099/p/Photo_1.jpg", "View")</f>
        <v>View</v>
      </c>
      <c r="F513" t="s">
        <v>113</v>
      </c>
      <c r="G513" t="s">
        <v>167</v>
      </c>
      <c r="H513">
        <v>58727</v>
      </c>
      <c r="I513" t="str">
        <f t="shared" si="22"/>
        <v>View</v>
      </c>
      <c r="J513" t="s">
        <v>113</v>
      </c>
      <c r="K513" t="s">
        <v>114</v>
      </c>
      <c r="L513">
        <v>58727</v>
      </c>
      <c r="M513">
        <v>27.17</v>
      </c>
      <c r="N513">
        <v>99.07</v>
      </c>
      <c r="P513">
        <v>1</v>
      </c>
      <c r="R513" t="s">
        <v>23</v>
      </c>
      <c r="S513" t="s">
        <v>34</v>
      </c>
      <c r="T513" t="s">
        <v>317</v>
      </c>
    </row>
    <row r="514" spans="1:20" x14ac:dyDescent="0.25">
      <c r="A514">
        <v>13</v>
      </c>
      <c r="B514" t="str">
        <f>HYPERLINK("https://imapinvasives.natureserve.org/imap/services/page/Presence/1332133.html", "View")</f>
        <v>View</v>
      </c>
      <c r="C514">
        <v>1332133</v>
      </c>
      <c r="D514">
        <v>1345891</v>
      </c>
      <c r="E514" t="str">
        <f>HYPERLINK("http://imap3images.s3-website-us-east-1.amazonaws.com/1345891/p/imap_app_photo_1685124713438.jpg", "View")</f>
        <v>View</v>
      </c>
      <c r="F514" t="s">
        <v>113</v>
      </c>
      <c r="G514" t="s">
        <v>167</v>
      </c>
      <c r="H514">
        <v>58727</v>
      </c>
      <c r="I514" t="str">
        <f t="shared" si="22"/>
        <v>View</v>
      </c>
      <c r="J514" t="s">
        <v>113</v>
      </c>
      <c r="K514" t="s">
        <v>114</v>
      </c>
      <c r="L514">
        <v>58727</v>
      </c>
      <c r="M514">
        <v>73.95</v>
      </c>
      <c r="N514">
        <v>98.95</v>
      </c>
      <c r="P514">
        <v>1</v>
      </c>
      <c r="R514" t="s">
        <v>23</v>
      </c>
      <c r="S514" t="s">
        <v>24</v>
      </c>
      <c r="T514" t="s">
        <v>316</v>
      </c>
    </row>
    <row r="515" spans="1:20" x14ac:dyDescent="0.25">
      <c r="A515">
        <v>14</v>
      </c>
      <c r="B515" t="str">
        <f>HYPERLINK("https://imapinvasives.natureserve.org/imap/services/page/Presence/1046502.html", "View")</f>
        <v>View</v>
      </c>
      <c r="C515">
        <v>1046502</v>
      </c>
      <c r="D515">
        <v>1050417</v>
      </c>
      <c r="E515" t="str">
        <f>HYPERLINK("http://imap3images.s3-website-us-east-1.amazonaws.com/1050417/p/imap_app_photo_1589728236658.jpg", "View")</f>
        <v>View</v>
      </c>
      <c r="F515" t="s">
        <v>113</v>
      </c>
      <c r="G515" t="s">
        <v>167</v>
      </c>
      <c r="H515">
        <v>58727</v>
      </c>
      <c r="I515" t="str">
        <f t="shared" si="22"/>
        <v>View</v>
      </c>
      <c r="J515" t="s">
        <v>113</v>
      </c>
      <c r="K515" t="s">
        <v>114</v>
      </c>
      <c r="L515">
        <v>58727</v>
      </c>
      <c r="M515">
        <v>26.29</v>
      </c>
      <c r="N515">
        <v>99.87</v>
      </c>
      <c r="P515">
        <v>1</v>
      </c>
      <c r="R515" t="s">
        <v>23</v>
      </c>
      <c r="S515" t="s">
        <v>24</v>
      </c>
      <c r="T515" t="s">
        <v>316</v>
      </c>
    </row>
    <row r="516" spans="1:20" x14ac:dyDescent="0.25">
      <c r="A516">
        <v>15</v>
      </c>
      <c r="B516" t="str">
        <f>HYPERLINK("https://imapinvasives.natureserve.org/imap/services/page/Presence/1271773.html", "View")</f>
        <v>View</v>
      </c>
      <c r="C516">
        <v>1271773</v>
      </c>
      <c r="D516">
        <v>1280764</v>
      </c>
      <c r="E516" t="str">
        <f>HYPERLINK("http://imap3images.s3-website-us-east-1.amazonaws.com/1280764/p/imap_app_photo_1652364508794.jpg", "View")</f>
        <v>View</v>
      </c>
      <c r="F516" t="s">
        <v>113</v>
      </c>
      <c r="G516" t="s">
        <v>167</v>
      </c>
      <c r="H516">
        <v>58727</v>
      </c>
      <c r="I516" t="str">
        <f t="shared" si="22"/>
        <v>View</v>
      </c>
      <c r="J516" t="s">
        <v>113</v>
      </c>
      <c r="K516" t="s">
        <v>114</v>
      </c>
      <c r="L516">
        <v>58727</v>
      </c>
      <c r="M516">
        <v>5.22</v>
      </c>
      <c r="N516">
        <v>96.35</v>
      </c>
      <c r="P516">
        <v>1</v>
      </c>
      <c r="R516" t="s">
        <v>23</v>
      </c>
      <c r="S516" t="s">
        <v>24</v>
      </c>
      <c r="T516" t="s">
        <v>316</v>
      </c>
    </row>
    <row r="517" spans="1:20" x14ac:dyDescent="0.25">
      <c r="A517">
        <v>16</v>
      </c>
      <c r="B517" t="str">
        <f>HYPERLINK("https://imapinvasives.natureserve.org/imap/services/page/Presence/1409856.html", "View")</f>
        <v>View</v>
      </c>
      <c r="C517">
        <v>1409856</v>
      </c>
      <c r="D517">
        <v>1422305</v>
      </c>
      <c r="E517" t="str">
        <f>HYPERLINK("http://imap3images.s3-website-us-east-1.amazonaws.com/1422305/p/imap_app_photo_1717171260466.jpg", "View")</f>
        <v>View</v>
      </c>
      <c r="F517" t="s">
        <v>113</v>
      </c>
      <c r="G517" t="s">
        <v>167</v>
      </c>
      <c r="H517">
        <v>58727</v>
      </c>
      <c r="I517" t="str">
        <f>HYPERLINK("https://www.inaturalist.org/taxa/641902-Berchemia-lineata", "View")</f>
        <v>View</v>
      </c>
      <c r="J517" t="s">
        <v>168</v>
      </c>
      <c r="K517" t="s">
        <v>169</v>
      </c>
      <c r="L517">
        <v>641902</v>
      </c>
      <c r="M517">
        <v>0</v>
      </c>
      <c r="N517">
        <v>69.790000000000006</v>
      </c>
      <c r="P517">
        <v>0</v>
      </c>
      <c r="R517" t="s">
        <v>29</v>
      </c>
      <c r="S517" t="s">
        <v>33</v>
      </c>
      <c r="T517" t="s">
        <v>317</v>
      </c>
    </row>
    <row r="518" spans="1:20" x14ac:dyDescent="0.25">
      <c r="A518">
        <v>17</v>
      </c>
      <c r="B518" t="str">
        <f>HYPERLINK("https://imapinvasives.natureserve.org/imap/services/page/Presence/1274870.html", "View")</f>
        <v>View</v>
      </c>
      <c r="C518">
        <v>1274870</v>
      </c>
      <c r="D518">
        <v>1284178</v>
      </c>
      <c r="E518" t="str">
        <f>HYPERLINK("http://imap3images.s3-website-us-east-1.amazonaws.com/1284178/p/imap_app_photo_1655316205105.jpg", "View")</f>
        <v>View</v>
      </c>
      <c r="F518" t="s">
        <v>113</v>
      </c>
      <c r="G518" t="s">
        <v>167</v>
      </c>
      <c r="H518">
        <v>58727</v>
      </c>
      <c r="I518" t="str">
        <f>HYPERLINK("https://www.inaturalist.org/taxa/58727-Berberis-thunbergii", "View")</f>
        <v>View</v>
      </c>
      <c r="J518" t="s">
        <v>113</v>
      </c>
      <c r="K518" t="s">
        <v>114</v>
      </c>
      <c r="L518">
        <v>58727</v>
      </c>
      <c r="M518">
        <v>12.21</v>
      </c>
      <c r="N518">
        <v>99.21</v>
      </c>
      <c r="P518">
        <v>1</v>
      </c>
      <c r="R518" t="s">
        <v>23</v>
      </c>
      <c r="S518" t="s">
        <v>24</v>
      </c>
      <c r="T518" t="s">
        <v>316</v>
      </c>
    </row>
    <row r="519" spans="1:20" x14ac:dyDescent="0.25">
      <c r="A519">
        <v>18</v>
      </c>
      <c r="B519" t="str">
        <f>HYPERLINK("https://imapinvasives.natureserve.org/imap/services/page/Presence/1067984.html", "View")</f>
        <v>View</v>
      </c>
      <c r="C519">
        <v>1067984</v>
      </c>
      <c r="D519">
        <v>1072741</v>
      </c>
      <c r="E519" t="str">
        <f>HYPERLINK("http://imap3images.s3-website-us-east-1.amazonaws.com/1072741/p/attachment2.jpg", "View")</f>
        <v>View</v>
      </c>
      <c r="F519" t="s">
        <v>113</v>
      </c>
      <c r="G519" t="s">
        <v>167</v>
      </c>
      <c r="H519">
        <v>58727</v>
      </c>
      <c r="I519" t="str">
        <f>HYPERLINK("https://www.inaturalist.org/taxa/58727-Berberis-thunbergii", "View")</f>
        <v>View</v>
      </c>
      <c r="J519" t="s">
        <v>113</v>
      </c>
      <c r="K519" t="s">
        <v>114</v>
      </c>
      <c r="L519">
        <v>58727</v>
      </c>
      <c r="M519">
        <v>26.17</v>
      </c>
      <c r="N519">
        <v>99.26</v>
      </c>
      <c r="P519">
        <v>1</v>
      </c>
      <c r="R519" t="s">
        <v>23</v>
      </c>
      <c r="S519" t="s">
        <v>24</v>
      </c>
      <c r="T519" t="s">
        <v>316</v>
      </c>
    </row>
    <row r="520" spans="1:20" x14ac:dyDescent="0.25">
      <c r="A520">
        <v>19</v>
      </c>
      <c r="B520" t="str">
        <f>HYPERLINK("https://imapinvasives.natureserve.org/imap/services/page/Presence/1051168.html", "View")</f>
        <v>View</v>
      </c>
      <c r="C520">
        <v>1051168</v>
      </c>
      <c r="D520">
        <v>1055225</v>
      </c>
      <c r="E520" t="str">
        <f>HYPERLINK("http://imap3images.s3-website-us-east-1.amazonaws.com/1055225/p/imap_app_photo_1592566763467.jpg", "View")</f>
        <v>View</v>
      </c>
      <c r="F520" t="s">
        <v>113</v>
      </c>
      <c r="G520" t="s">
        <v>167</v>
      </c>
      <c r="H520">
        <v>58727</v>
      </c>
      <c r="I520" t="str">
        <f>HYPERLINK("https://www.inaturalist.org/taxa/58727-Berberis-thunbergii", "View")</f>
        <v>View</v>
      </c>
      <c r="J520" t="s">
        <v>113</v>
      </c>
      <c r="K520" t="s">
        <v>114</v>
      </c>
      <c r="L520">
        <v>58727</v>
      </c>
      <c r="M520">
        <v>64.72</v>
      </c>
      <c r="N520">
        <v>97.74</v>
      </c>
      <c r="P520">
        <v>1</v>
      </c>
      <c r="R520" t="s">
        <v>23</v>
      </c>
      <c r="S520" t="s">
        <v>24</v>
      </c>
      <c r="T520" t="s">
        <v>316</v>
      </c>
    </row>
    <row r="521" spans="1:20" x14ac:dyDescent="0.25">
      <c r="A521">
        <v>20</v>
      </c>
      <c r="B521" t="str">
        <f>HYPERLINK("https://imapinvasives.natureserve.org/imap/services/page/Presence/475530.html", "View")</f>
        <v>View</v>
      </c>
      <c r="C521">
        <v>475530</v>
      </c>
      <c r="D521">
        <v>475530</v>
      </c>
      <c r="E521" t="str">
        <f>HYPERLINK("http://imap3images.s3-website-us-east-1.amazonaws.com/475530/p/photourl1_2016_03_19_bralewis_v9eiuk3k.jpg", "View")</f>
        <v>View</v>
      </c>
      <c r="F521" t="s">
        <v>113</v>
      </c>
      <c r="G521" t="s">
        <v>167</v>
      </c>
      <c r="H521">
        <v>58727</v>
      </c>
      <c r="I521" t="str">
        <f>HYPERLINK("https://www.inaturalist.org/taxa/404261-Olearia-bullata", "View")</f>
        <v>View</v>
      </c>
      <c r="J521" t="s">
        <v>170</v>
      </c>
      <c r="K521" t="s">
        <v>94</v>
      </c>
      <c r="L521">
        <v>404261</v>
      </c>
      <c r="M521">
        <v>0</v>
      </c>
      <c r="N521">
        <v>7.52</v>
      </c>
      <c r="P521">
        <v>0</v>
      </c>
      <c r="R521" t="s">
        <v>40</v>
      </c>
      <c r="S521" t="s">
        <v>64</v>
      </c>
      <c r="T521" t="s">
        <v>317</v>
      </c>
    </row>
    <row r="522" spans="1:20" x14ac:dyDescent="0.25">
      <c r="A522">
        <v>21</v>
      </c>
      <c r="B522" t="str">
        <f>HYPERLINK("https://imapinvasives.natureserve.org/imap/services/page/Presence/523598.html", "View")</f>
        <v>View</v>
      </c>
      <c r="C522">
        <v>523598</v>
      </c>
      <c r="D522">
        <v>523598</v>
      </c>
      <c r="E522" t="str">
        <f>HYPERLINK("http://imap3images.s3-website-us-east-1.amazonaws.com/523598/p/photourl1_2017_11_14_sartravalio_b5xc0iz2.jpg", "View")</f>
        <v>View</v>
      </c>
      <c r="F522" t="s">
        <v>113</v>
      </c>
      <c r="G522" t="s">
        <v>167</v>
      </c>
      <c r="H522">
        <v>58727</v>
      </c>
      <c r="I522" t="str">
        <f>HYPERLINK("https://www.inaturalist.org/taxa/191019-Crataegus-azarolus", "View")</f>
        <v>View</v>
      </c>
      <c r="J522" t="s">
        <v>171</v>
      </c>
      <c r="K522" t="s">
        <v>172</v>
      </c>
      <c r="L522">
        <v>191019</v>
      </c>
      <c r="M522">
        <v>0</v>
      </c>
      <c r="N522">
        <v>70.36</v>
      </c>
      <c r="P522">
        <v>0</v>
      </c>
      <c r="R522" t="s">
        <v>29</v>
      </c>
      <c r="S522" t="s">
        <v>64</v>
      </c>
      <c r="T522" t="s">
        <v>317</v>
      </c>
    </row>
    <row r="523" spans="1:20" x14ac:dyDescent="0.25">
      <c r="A523">
        <v>22</v>
      </c>
      <c r="B523" t="str">
        <f>HYPERLINK("https://imapinvasives.natureserve.org/imap/services/page/Presence/1367608.html", "View")</f>
        <v>View</v>
      </c>
      <c r="C523">
        <v>1367608</v>
      </c>
      <c r="D523">
        <v>1385658</v>
      </c>
      <c r="E523" t="str">
        <f>HYPERLINK("http://imap3images.s3-website-us-east-1.amazonaws.com/1385658/p/Photo_3.jpg", "View")</f>
        <v>View</v>
      </c>
      <c r="F523" t="s">
        <v>113</v>
      </c>
      <c r="G523" t="s">
        <v>167</v>
      </c>
      <c r="H523">
        <v>58727</v>
      </c>
      <c r="I523" t="str">
        <f>HYPERLINK("https://www.inaturalist.org/taxa/58727-Berberis-thunbergii", "View")</f>
        <v>View</v>
      </c>
      <c r="J523" t="s">
        <v>113</v>
      </c>
      <c r="K523" t="s">
        <v>114</v>
      </c>
      <c r="L523">
        <v>58727</v>
      </c>
      <c r="M523">
        <v>21.52</v>
      </c>
      <c r="N523">
        <v>99.89</v>
      </c>
      <c r="P523">
        <v>1</v>
      </c>
      <c r="R523" t="s">
        <v>23</v>
      </c>
      <c r="S523" t="s">
        <v>24</v>
      </c>
      <c r="T523" t="s">
        <v>316</v>
      </c>
    </row>
    <row r="524" spans="1:20" x14ac:dyDescent="0.25">
      <c r="A524">
        <v>23</v>
      </c>
      <c r="B524" t="str">
        <f>HYPERLINK("https://imapinvasives.natureserve.org/imap/services/page/Presence/533053.html", "View")</f>
        <v>View</v>
      </c>
      <c r="C524">
        <v>533053</v>
      </c>
      <c r="D524">
        <v>533053</v>
      </c>
      <c r="E524" t="str">
        <f>HYPERLINK("http://imap3images.s3-website-us-east-1.amazonaws.com/533053/p/photourl1_2019_02_06_jakfranklin_5pyjtaaa.jpg", "View")</f>
        <v>View</v>
      </c>
      <c r="F524" t="s">
        <v>113</v>
      </c>
      <c r="G524" t="s">
        <v>167</v>
      </c>
      <c r="H524">
        <v>58727</v>
      </c>
      <c r="I524" t="str">
        <f>HYPERLINK("https://www.inaturalist.org/taxa/84803-Ribes-cynosbati", "View")</f>
        <v>View</v>
      </c>
      <c r="J524" t="s">
        <v>173</v>
      </c>
      <c r="K524" t="s">
        <v>174</v>
      </c>
      <c r="L524">
        <v>84803</v>
      </c>
      <c r="M524">
        <v>8.3000000000000007</v>
      </c>
      <c r="N524">
        <v>57.39</v>
      </c>
      <c r="P524">
        <v>0</v>
      </c>
      <c r="R524" t="s">
        <v>40</v>
      </c>
      <c r="S524" t="s">
        <v>64</v>
      </c>
      <c r="T524" t="s">
        <v>317</v>
      </c>
    </row>
    <row r="525" spans="1:20" x14ac:dyDescent="0.25">
      <c r="A525">
        <v>24</v>
      </c>
      <c r="B525" t="str">
        <f>HYPERLINK("https://imapinvasives.natureserve.org/imap/services/page/Presence/1132218.html", "View")</f>
        <v>View</v>
      </c>
      <c r="C525">
        <v>1132218</v>
      </c>
      <c r="D525">
        <v>1138603</v>
      </c>
      <c r="E525" t="str">
        <f>HYPERLINK("http://imap3images.s3-website-us-east-1.amazonaws.com/1138603/p/20200730_175822.jpg", "View")</f>
        <v>View</v>
      </c>
      <c r="F525" t="s">
        <v>113</v>
      </c>
      <c r="G525" t="s">
        <v>167</v>
      </c>
      <c r="H525">
        <v>58727</v>
      </c>
      <c r="I525" t="str">
        <f>HYPERLINK("https://www.inaturalist.org/taxa/58727-Berberis-thunbergii", "View")</f>
        <v>View</v>
      </c>
      <c r="J525" t="s">
        <v>113</v>
      </c>
      <c r="K525" t="s">
        <v>114</v>
      </c>
      <c r="L525">
        <v>58727</v>
      </c>
      <c r="M525">
        <v>26.72</v>
      </c>
      <c r="N525">
        <v>99.87</v>
      </c>
      <c r="P525">
        <v>1</v>
      </c>
      <c r="R525" t="s">
        <v>23</v>
      </c>
      <c r="S525" t="s">
        <v>24</v>
      </c>
      <c r="T525" t="s">
        <v>316</v>
      </c>
    </row>
    <row r="526" spans="1:20" x14ac:dyDescent="0.25">
      <c r="A526">
        <v>25</v>
      </c>
      <c r="B526" t="str">
        <f>HYPERLINK("https://imapinvasives.natureserve.org/imap/services/page/Presence/1299354.html", "View")</f>
        <v>View</v>
      </c>
      <c r="C526">
        <v>1299354</v>
      </c>
      <c r="D526">
        <v>1309695</v>
      </c>
      <c r="E526" t="str">
        <f>HYPERLINK("http://imap3images.s3-website-us-east-1.amazonaws.com/1309695/p/Photo_1.jpg", "View")</f>
        <v>View</v>
      </c>
      <c r="F526" t="s">
        <v>113</v>
      </c>
      <c r="G526" t="s">
        <v>167</v>
      </c>
      <c r="H526">
        <v>58727</v>
      </c>
      <c r="I526" t="str">
        <f>HYPERLINK("https://www.inaturalist.org/taxa/58727-Berberis-thunbergii", "View")</f>
        <v>View</v>
      </c>
      <c r="J526" t="s">
        <v>113</v>
      </c>
      <c r="K526" t="s">
        <v>114</v>
      </c>
      <c r="L526">
        <v>58727</v>
      </c>
      <c r="M526">
        <v>22.81</v>
      </c>
      <c r="N526">
        <v>99.62</v>
      </c>
      <c r="P526">
        <v>1</v>
      </c>
      <c r="R526" t="s">
        <v>23</v>
      </c>
      <c r="S526" t="s">
        <v>24</v>
      </c>
      <c r="T526" t="s">
        <v>316</v>
      </c>
    </row>
    <row r="527" spans="1:20" x14ac:dyDescent="0.25">
      <c r="A527">
        <v>26</v>
      </c>
      <c r="B527" t="str">
        <f>HYPERLINK("https://imapinvasives.natureserve.org/imap/services/page/Presence/1271004.html", "View")</f>
        <v>View</v>
      </c>
      <c r="C527">
        <v>1271004</v>
      </c>
      <c r="D527">
        <v>1279944</v>
      </c>
      <c r="E527" t="str">
        <f>HYPERLINK("http://imap3images.s3-website-us-east-1.amazonaws.com/1279944/p/imap_app_photo_1650924974784.jpg", "View")</f>
        <v>View</v>
      </c>
      <c r="F527" t="s">
        <v>113</v>
      </c>
      <c r="G527" t="s">
        <v>167</v>
      </c>
      <c r="H527">
        <v>58727</v>
      </c>
      <c r="I527" t="str">
        <f>HYPERLINK("https://www.inaturalist.org/taxa/58727-Berberis-thunbergii", "View")</f>
        <v>View</v>
      </c>
      <c r="J527" t="s">
        <v>113</v>
      </c>
      <c r="K527" t="s">
        <v>114</v>
      </c>
      <c r="L527">
        <v>58727</v>
      </c>
      <c r="M527">
        <v>84.64</v>
      </c>
      <c r="N527">
        <v>53.34</v>
      </c>
      <c r="P527">
        <v>1</v>
      </c>
      <c r="R527" t="s">
        <v>23</v>
      </c>
      <c r="S527" t="s">
        <v>33</v>
      </c>
      <c r="T527" t="s">
        <v>317</v>
      </c>
    </row>
    <row r="528" spans="1:20" x14ac:dyDescent="0.25">
      <c r="A528">
        <v>27</v>
      </c>
      <c r="B528" t="str">
        <f>HYPERLINK("https://imapinvasives.natureserve.org/imap/services/page/Presence/529703.html", "View")</f>
        <v>View</v>
      </c>
      <c r="C528">
        <v>529703</v>
      </c>
      <c r="D528">
        <v>529703</v>
      </c>
      <c r="E528" t="str">
        <f>HYPERLINK("http://imap3images.s3-website-us-east-1.amazonaws.com/529703/p/photourl1_2018_08_08_falneske_7cbtacx6.jpg", "View")</f>
        <v>View</v>
      </c>
      <c r="F528" t="s">
        <v>113</v>
      </c>
      <c r="G528" t="s">
        <v>167</v>
      </c>
      <c r="H528">
        <v>58727</v>
      </c>
      <c r="I528" t="str">
        <f>HYPERLINK("https://www.inaturalist.org/taxa/58727-Berberis-thunbergii", "View")</f>
        <v>View</v>
      </c>
      <c r="J528" t="s">
        <v>113</v>
      </c>
      <c r="K528" t="s">
        <v>114</v>
      </c>
      <c r="L528">
        <v>58727</v>
      </c>
      <c r="M528">
        <v>82.35</v>
      </c>
      <c r="N528">
        <v>97.92</v>
      </c>
      <c r="P528">
        <v>1</v>
      </c>
      <c r="R528" t="s">
        <v>23</v>
      </c>
      <c r="S528" t="s">
        <v>24</v>
      </c>
      <c r="T528" t="s">
        <v>316</v>
      </c>
    </row>
    <row r="529" spans="1:20" x14ac:dyDescent="0.25">
      <c r="A529">
        <v>28</v>
      </c>
      <c r="B529" t="str">
        <f>HYPERLINK("https://imapinvasives.natureserve.org/imap/services/page/Presence/491656.html", "View")</f>
        <v>View</v>
      </c>
      <c r="C529">
        <v>491656</v>
      </c>
      <c r="D529">
        <v>491656</v>
      </c>
      <c r="E529" t="str">
        <f>HYPERLINK("http://imap3images.s3-website-us-east-1.amazonaws.com/491656/p/photourl1_2016_06_14_tylchristensen_cn4plr1w.jpg", "View")</f>
        <v>View</v>
      </c>
      <c r="F529" t="s">
        <v>113</v>
      </c>
      <c r="G529" t="s">
        <v>167</v>
      </c>
      <c r="H529">
        <v>58727</v>
      </c>
      <c r="I529" t="str">
        <f>HYPERLINK("https://www.inaturalist.org/taxa/204160-Ligustrum-obtusifolium", "View")</f>
        <v>View</v>
      </c>
      <c r="J529" t="s">
        <v>175</v>
      </c>
      <c r="K529" t="s">
        <v>176</v>
      </c>
      <c r="L529">
        <v>204160</v>
      </c>
      <c r="M529">
        <v>16.88</v>
      </c>
      <c r="N529">
        <v>98.42</v>
      </c>
      <c r="P529">
        <v>0</v>
      </c>
      <c r="R529" t="s">
        <v>27</v>
      </c>
      <c r="S529" t="s">
        <v>24</v>
      </c>
      <c r="T529" t="s">
        <v>316</v>
      </c>
    </row>
    <row r="530" spans="1:20" x14ac:dyDescent="0.25">
      <c r="A530">
        <v>29</v>
      </c>
      <c r="B530" t="str">
        <f>HYPERLINK("https://imapinvasives.natureserve.org/imap/services/page/Presence/1148491.html", "View")</f>
        <v>View</v>
      </c>
      <c r="C530">
        <v>1148491</v>
      </c>
      <c r="D530">
        <v>1155245</v>
      </c>
      <c r="E530" t="str">
        <f>HYPERLINK("http://imap3images.s3-website-us-east-1.amazonaws.com/1155245/p/imap_app_photo_1624984119474.jpg", "View")</f>
        <v>View</v>
      </c>
      <c r="F530" t="s">
        <v>113</v>
      </c>
      <c r="G530" t="s">
        <v>167</v>
      </c>
      <c r="H530">
        <v>58727</v>
      </c>
      <c r="I530" t="str">
        <f>HYPERLINK("https://www.inaturalist.org/taxa/58727-Berberis-thunbergii", "View")</f>
        <v>View</v>
      </c>
      <c r="J530" t="s">
        <v>113</v>
      </c>
      <c r="K530" t="s">
        <v>114</v>
      </c>
      <c r="L530">
        <v>58727</v>
      </c>
      <c r="M530">
        <v>14.54</v>
      </c>
      <c r="N530">
        <v>76.86</v>
      </c>
      <c r="P530">
        <v>1</v>
      </c>
      <c r="R530" t="s">
        <v>23</v>
      </c>
      <c r="S530" t="s">
        <v>24</v>
      </c>
      <c r="T530" t="s">
        <v>316</v>
      </c>
    </row>
    <row r="531" spans="1:20" x14ac:dyDescent="0.25">
      <c r="A531">
        <v>30</v>
      </c>
      <c r="B531" t="str">
        <f>HYPERLINK("https://imapinvasives.natureserve.org/imap/services/page/Presence/493302.html", "View")</f>
        <v>View</v>
      </c>
      <c r="C531">
        <v>493302</v>
      </c>
      <c r="D531">
        <v>493302</v>
      </c>
      <c r="E531" t="str">
        <f>HYPERLINK("http://imap3images.s3-website-us-east-1.amazonaws.com/493302/p/photourl1_2016_07_17_julgrinstead_ah3v89s8.jpg", "View")</f>
        <v>View</v>
      </c>
      <c r="F531" t="s">
        <v>113</v>
      </c>
      <c r="G531" t="s">
        <v>167</v>
      </c>
      <c r="H531">
        <v>58727</v>
      </c>
      <c r="I531" t="str">
        <f>HYPERLINK("https://www.inaturalist.org/taxa/58727-Berberis-thunbergii", "View")</f>
        <v>View</v>
      </c>
      <c r="J531" t="s">
        <v>113</v>
      </c>
      <c r="K531" t="s">
        <v>114</v>
      </c>
      <c r="L531">
        <v>58727</v>
      </c>
      <c r="M531">
        <v>23.7</v>
      </c>
      <c r="N531">
        <v>99.63</v>
      </c>
      <c r="P531">
        <v>1</v>
      </c>
      <c r="R531" t="s">
        <v>23</v>
      </c>
      <c r="S531" t="s">
        <v>24</v>
      </c>
      <c r="T531" t="s">
        <v>316</v>
      </c>
    </row>
    <row r="532" spans="1:20" x14ac:dyDescent="0.25">
      <c r="A532">
        <v>31</v>
      </c>
      <c r="B532" t="str">
        <f>HYPERLINK("https://imapinvasives.natureserve.org/imap/services/page/Presence/410875.html", "View")</f>
        <v>View</v>
      </c>
      <c r="C532">
        <v>410875</v>
      </c>
      <c r="D532">
        <v>410875</v>
      </c>
      <c r="E532" t="str">
        <f>HYPERLINK("http://imap3images.s3-website-us-east-1.amazonaws.com/410875/p/photourl1_2014_05_29_scowilkerson_xrbwltd8.jpg", "View")</f>
        <v>View</v>
      </c>
      <c r="F532" t="s">
        <v>113</v>
      </c>
      <c r="G532" t="s">
        <v>167</v>
      </c>
      <c r="H532">
        <v>58727</v>
      </c>
      <c r="I532" t="str">
        <f>HYPERLINK("https://www.inaturalist.org/taxa/58727-Berberis-thunbergii", "View")</f>
        <v>View</v>
      </c>
      <c r="J532" t="s">
        <v>113</v>
      </c>
      <c r="K532" t="s">
        <v>114</v>
      </c>
      <c r="L532">
        <v>58727</v>
      </c>
      <c r="M532">
        <v>18.149999999999999</v>
      </c>
      <c r="N532">
        <v>99.58</v>
      </c>
      <c r="P532">
        <v>1</v>
      </c>
      <c r="R532" t="s">
        <v>23</v>
      </c>
      <c r="S532" t="s">
        <v>24</v>
      </c>
      <c r="T532" t="s">
        <v>316</v>
      </c>
    </row>
    <row r="533" spans="1:20" x14ac:dyDescent="0.25">
      <c r="A533">
        <v>32</v>
      </c>
      <c r="B533" t="str">
        <f>HYPERLINK("https://imapinvasives.natureserve.org/imap/services/page/Presence/1023550.html", "View")</f>
        <v>View</v>
      </c>
      <c r="C533">
        <v>1023550</v>
      </c>
      <c r="D533">
        <v>1024137</v>
      </c>
      <c r="E533" t="str">
        <f>HYPERLINK("http://imap3images.s3-website-us-east-1.amazonaws.com/1024137/p/imap_app_photo_1564336459571.jpg", "View")</f>
        <v>View</v>
      </c>
      <c r="F533" t="s">
        <v>113</v>
      </c>
      <c r="G533" t="s">
        <v>167</v>
      </c>
      <c r="H533">
        <v>58727</v>
      </c>
      <c r="I533" t="str">
        <f>HYPERLINK("https://www.inaturalist.org/taxa/116735-Rudbeckia-laciniata", "View")</f>
        <v>View</v>
      </c>
      <c r="J533" t="s">
        <v>177</v>
      </c>
      <c r="K533" t="s">
        <v>178</v>
      </c>
      <c r="L533">
        <v>116735</v>
      </c>
      <c r="M533">
        <v>25.66</v>
      </c>
      <c r="N533">
        <v>9.5</v>
      </c>
      <c r="P533">
        <v>0</v>
      </c>
      <c r="R533" t="s">
        <v>40</v>
      </c>
      <c r="S533" t="s">
        <v>79</v>
      </c>
      <c r="T533" t="s">
        <v>317</v>
      </c>
    </row>
    <row r="534" spans="1:20" x14ac:dyDescent="0.25">
      <c r="A534">
        <v>33</v>
      </c>
      <c r="B534" t="str">
        <f>HYPERLINK("https://imapinvasives.natureserve.org/imap/services/page/Presence/1283062.html", "View")</f>
        <v>View</v>
      </c>
      <c r="C534">
        <v>1283062</v>
      </c>
      <c r="D534">
        <v>1292564</v>
      </c>
      <c r="E534" t="str">
        <f>HYPERLINK("http://imap3images.s3-website-us-east-1.amazonaws.com/1292564/p/Photo_1.jpg", "View")</f>
        <v>View</v>
      </c>
      <c r="F534" t="s">
        <v>113</v>
      </c>
      <c r="G534" t="s">
        <v>167</v>
      </c>
      <c r="H534">
        <v>58727</v>
      </c>
      <c r="I534" t="str">
        <f>HYPERLINK("https://www.inaturalist.org/taxa/58727-Berberis-thunbergii", "View")</f>
        <v>View</v>
      </c>
      <c r="J534" t="s">
        <v>113</v>
      </c>
      <c r="K534" t="s">
        <v>114</v>
      </c>
      <c r="L534">
        <v>58727</v>
      </c>
      <c r="M534">
        <v>26.17</v>
      </c>
      <c r="N534">
        <v>98.72</v>
      </c>
      <c r="P534">
        <v>1</v>
      </c>
      <c r="R534" t="s">
        <v>23</v>
      </c>
      <c r="S534" t="s">
        <v>24</v>
      </c>
      <c r="T534" t="s">
        <v>316</v>
      </c>
    </row>
    <row r="535" spans="1:20" x14ac:dyDescent="0.25">
      <c r="A535">
        <v>34</v>
      </c>
      <c r="B535" t="str">
        <f>HYPERLINK("https://imapinvasives.natureserve.org/imap/services/page/Presence/1324056.html", "View")</f>
        <v>View</v>
      </c>
      <c r="C535">
        <v>1324056</v>
      </c>
      <c r="D535">
        <v>1336748</v>
      </c>
      <c r="E535" t="str">
        <f>HYPERLINK("http://imap3images.s3-website-us-east-1.amazonaws.com/1336748/p/Photo_1.jpg", "View")</f>
        <v>View</v>
      </c>
      <c r="F535" t="s">
        <v>113</v>
      </c>
      <c r="G535" t="s">
        <v>167</v>
      </c>
      <c r="H535">
        <v>58727</v>
      </c>
      <c r="I535" t="str">
        <f>HYPERLINK("https://www.inaturalist.org/taxa/58727-Berberis-thunbergii", "View")</f>
        <v>View</v>
      </c>
      <c r="J535" t="s">
        <v>113</v>
      </c>
      <c r="K535" t="s">
        <v>114</v>
      </c>
      <c r="L535">
        <v>58727</v>
      </c>
      <c r="M535">
        <v>22.1</v>
      </c>
      <c r="N535">
        <v>97.04</v>
      </c>
      <c r="P535">
        <v>1</v>
      </c>
      <c r="R535" t="s">
        <v>23</v>
      </c>
      <c r="S535" t="s">
        <v>24</v>
      </c>
      <c r="T535" t="s">
        <v>316</v>
      </c>
    </row>
    <row r="536" spans="1:20" x14ac:dyDescent="0.25">
      <c r="A536">
        <v>35</v>
      </c>
      <c r="B536" t="str">
        <f>HYPERLINK("https://imapinvasives.natureserve.org/imap/services/page/Presence/333316.html", "View")</f>
        <v>View</v>
      </c>
      <c r="C536">
        <v>333316</v>
      </c>
      <c r="D536">
        <v>333316</v>
      </c>
      <c r="E536" t="str">
        <f>HYPERLINK("http://imap3images.s3-website-us-east-1.amazonaws.com/333316/p/photourl1_2012_07_19_alidenny_b4x0ght5.jpg", "View")</f>
        <v>View</v>
      </c>
      <c r="F536" t="s">
        <v>113</v>
      </c>
      <c r="G536" t="s">
        <v>167</v>
      </c>
      <c r="H536">
        <v>58727</v>
      </c>
      <c r="I536" t="str">
        <f t="shared" ref="I536:I542" si="23">HYPERLINK("https://www.inaturalist.org/taxa/58727-Berberis-thunbergii", "View")</f>
        <v>View</v>
      </c>
      <c r="J536" t="s">
        <v>113</v>
      </c>
      <c r="K536" t="s">
        <v>114</v>
      </c>
      <c r="L536">
        <v>58727</v>
      </c>
      <c r="M536">
        <v>14.61</v>
      </c>
      <c r="N536">
        <v>78.22</v>
      </c>
      <c r="P536">
        <v>1</v>
      </c>
      <c r="R536" t="s">
        <v>23</v>
      </c>
      <c r="S536" t="s">
        <v>34</v>
      </c>
      <c r="T536" t="s">
        <v>317</v>
      </c>
    </row>
    <row r="537" spans="1:20" x14ac:dyDescent="0.25">
      <c r="A537">
        <v>36</v>
      </c>
      <c r="B537" t="str">
        <f>HYPERLINK("https://imapinvasives.natureserve.org/imap/services/page/Presence/1292560.html", "View")</f>
        <v>View</v>
      </c>
      <c r="C537">
        <v>1292560</v>
      </c>
      <c r="D537">
        <v>1302765</v>
      </c>
      <c r="E537" t="str">
        <f>HYPERLINK("http://imap3images.s3-website-us-east-1.amazonaws.com/1302765/p/imap_app_photo_1663250450888.jpg", "View")</f>
        <v>View</v>
      </c>
      <c r="F537" t="s">
        <v>113</v>
      </c>
      <c r="G537" t="s">
        <v>167</v>
      </c>
      <c r="H537">
        <v>58727</v>
      </c>
      <c r="I537" t="str">
        <f t="shared" si="23"/>
        <v>View</v>
      </c>
      <c r="J537" t="s">
        <v>113</v>
      </c>
      <c r="K537" t="s">
        <v>114</v>
      </c>
      <c r="L537">
        <v>58727</v>
      </c>
      <c r="M537">
        <v>82.54</v>
      </c>
      <c r="N537">
        <v>99.51</v>
      </c>
      <c r="P537">
        <v>1</v>
      </c>
      <c r="R537" t="s">
        <v>23</v>
      </c>
      <c r="S537" t="s">
        <v>24</v>
      </c>
      <c r="T537" t="s">
        <v>316</v>
      </c>
    </row>
    <row r="538" spans="1:20" x14ac:dyDescent="0.25">
      <c r="A538">
        <v>37</v>
      </c>
      <c r="B538" t="str">
        <f>HYPERLINK("https://imapinvasives.natureserve.org/imap/services/page/Presence/1048156.html", "View")</f>
        <v>View</v>
      </c>
      <c r="C538">
        <v>1048156</v>
      </c>
      <c r="D538">
        <v>1052154</v>
      </c>
      <c r="E538" t="str">
        <f>HYPERLINK("http://imap3images.s3-website-us-east-1.amazonaws.com/1052154/p/imap_app_photo_1591323233929.jpg", "View")</f>
        <v>View</v>
      </c>
      <c r="F538" t="s">
        <v>113</v>
      </c>
      <c r="G538" t="s">
        <v>167</v>
      </c>
      <c r="H538">
        <v>58727</v>
      </c>
      <c r="I538" t="str">
        <f t="shared" si="23"/>
        <v>View</v>
      </c>
      <c r="J538" t="s">
        <v>113</v>
      </c>
      <c r="K538" t="s">
        <v>114</v>
      </c>
      <c r="L538">
        <v>58727</v>
      </c>
      <c r="M538">
        <v>52.13</v>
      </c>
      <c r="N538">
        <v>99.92</v>
      </c>
      <c r="P538">
        <v>1</v>
      </c>
      <c r="R538" t="s">
        <v>23</v>
      </c>
      <c r="S538" t="s">
        <v>24</v>
      </c>
      <c r="T538" t="s">
        <v>316</v>
      </c>
    </row>
    <row r="539" spans="1:20" x14ac:dyDescent="0.25">
      <c r="A539">
        <v>38</v>
      </c>
      <c r="B539" t="str">
        <f>HYPERLINK("https://imapinvasives.natureserve.org/imap/services/page/Presence/1047691.html", "View")</f>
        <v>View</v>
      </c>
      <c r="C539">
        <v>1047691</v>
      </c>
      <c r="D539">
        <v>1051684</v>
      </c>
      <c r="E539" t="str">
        <f>HYPERLINK("http://imap3images.s3-website-us-east-1.amazonaws.com/1051684/p/imap_app_photo_1591134033493.jpg", "View")</f>
        <v>View</v>
      </c>
      <c r="F539" t="s">
        <v>113</v>
      </c>
      <c r="G539" t="s">
        <v>167</v>
      </c>
      <c r="H539">
        <v>58727</v>
      </c>
      <c r="I539" t="str">
        <f t="shared" si="23"/>
        <v>View</v>
      </c>
      <c r="J539" t="s">
        <v>113</v>
      </c>
      <c r="K539" t="s">
        <v>114</v>
      </c>
      <c r="L539">
        <v>58727</v>
      </c>
      <c r="M539">
        <v>82.35</v>
      </c>
      <c r="N539">
        <v>99.53</v>
      </c>
      <c r="P539">
        <v>1</v>
      </c>
      <c r="R539" t="s">
        <v>23</v>
      </c>
      <c r="S539" t="s">
        <v>24</v>
      </c>
      <c r="T539" t="s">
        <v>316</v>
      </c>
    </row>
    <row r="540" spans="1:20" x14ac:dyDescent="0.25">
      <c r="A540">
        <v>39</v>
      </c>
      <c r="B540" t="str">
        <f>HYPERLINK("https://imapinvasives.natureserve.org/imap/services/page/Presence/1438511.html", "View")</f>
        <v>View</v>
      </c>
      <c r="C540">
        <v>1438511</v>
      </c>
      <c r="D540">
        <v>1452769</v>
      </c>
      <c r="E540" t="str">
        <f>HYPERLINK("http://imap3images.s3-website-us-east-1.amazonaws.com/1452769/p/imap_app_photo_1722531450204.jpg", "View")</f>
        <v>View</v>
      </c>
      <c r="F540" t="s">
        <v>113</v>
      </c>
      <c r="G540" t="s">
        <v>167</v>
      </c>
      <c r="H540">
        <v>58727</v>
      </c>
      <c r="I540" t="str">
        <f t="shared" si="23"/>
        <v>View</v>
      </c>
      <c r="J540" t="s">
        <v>113</v>
      </c>
      <c r="K540" t="s">
        <v>114</v>
      </c>
      <c r="L540">
        <v>58727</v>
      </c>
      <c r="M540">
        <v>82.54</v>
      </c>
      <c r="N540">
        <v>99.98</v>
      </c>
      <c r="P540">
        <v>1</v>
      </c>
      <c r="R540" t="s">
        <v>23</v>
      </c>
      <c r="S540" t="s">
        <v>24</v>
      </c>
      <c r="T540" t="s">
        <v>316</v>
      </c>
    </row>
    <row r="541" spans="1:20" x14ac:dyDescent="0.25">
      <c r="A541">
        <v>40</v>
      </c>
      <c r="B541" t="str">
        <f>HYPERLINK("https://imapinvasives.natureserve.org/imap/services/page/Presence/511345.html", "View")</f>
        <v>View</v>
      </c>
      <c r="C541">
        <v>511345</v>
      </c>
      <c r="D541">
        <v>511345</v>
      </c>
      <c r="E541" t="str">
        <f>HYPERLINK("http://imap3images.s3-website-us-east-1.amazonaws.com/511345/p/photourl1_2017_05_19_casbradshaw_vuhtj6ng.jpg", "View")</f>
        <v>View</v>
      </c>
      <c r="F541" t="s">
        <v>113</v>
      </c>
      <c r="G541" t="s">
        <v>167</v>
      </c>
      <c r="H541">
        <v>58727</v>
      </c>
      <c r="I541" t="str">
        <f t="shared" si="23"/>
        <v>View</v>
      </c>
      <c r="J541" t="s">
        <v>113</v>
      </c>
      <c r="K541" t="s">
        <v>114</v>
      </c>
      <c r="L541">
        <v>58727</v>
      </c>
      <c r="M541">
        <v>27.77</v>
      </c>
      <c r="N541">
        <v>99.61</v>
      </c>
      <c r="P541">
        <v>1</v>
      </c>
      <c r="R541" t="s">
        <v>23</v>
      </c>
      <c r="S541" t="s">
        <v>24</v>
      </c>
      <c r="T541" t="s">
        <v>316</v>
      </c>
    </row>
    <row r="542" spans="1:20" x14ac:dyDescent="0.25">
      <c r="A542">
        <v>41</v>
      </c>
      <c r="B542" t="str">
        <f>HYPERLINK("https://imapinvasives.natureserve.org/imap/services/page/Presence/1282823.html", "View")</f>
        <v>View</v>
      </c>
      <c r="C542">
        <v>1282823</v>
      </c>
      <c r="D542">
        <v>1292316</v>
      </c>
      <c r="E542" t="str">
        <f>HYPERLINK("http://imap3images.s3-website-us-east-1.amazonaws.com/1292316/p/Photo_1.jpg", "View")</f>
        <v>View</v>
      </c>
      <c r="F542" t="s">
        <v>113</v>
      </c>
      <c r="G542" t="s">
        <v>167</v>
      </c>
      <c r="H542">
        <v>58727</v>
      </c>
      <c r="I542" t="str">
        <f t="shared" si="23"/>
        <v>View</v>
      </c>
      <c r="J542" t="s">
        <v>113</v>
      </c>
      <c r="K542" t="s">
        <v>114</v>
      </c>
      <c r="L542">
        <v>58727</v>
      </c>
      <c r="M542">
        <v>50.22</v>
      </c>
      <c r="N542">
        <v>99.13</v>
      </c>
      <c r="P542">
        <v>1</v>
      </c>
      <c r="R542" t="s">
        <v>23</v>
      </c>
      <c r="S542" t="s">
        <v>24</v>
      </c>
      <c r="T542" t="s">
        <v>316</v>
      </c>
    </row>
    <row r="543" spans="1:20" x14ac:dyDescent="0.25">
      <c r="A543">
        <v>42</v>
      </c>
      <c r="B543" t="str">
        <f>HYPERLINK("https://imapinvasives.natureserve.org/imap/services/page/Presence/1296937.html", "View")</f>
        <v>View</v>
      </c>
      <c r="C543">
        <v>1296937</v>
      </c>
      <c r="D543">
        <v>1307167</v>
      </c>
      <c r="E543" t="str">
        <f>HYPERLINK("http://imap3images.s3-website-us-east-1.amazonaws.com/1307167/p/imap_app_photo_1663710568560.jpg", "View")</f>
        <v>View</v>
      </c>
      <c r="F543" t="s">
        <v>113</v>
      </c>
      <c r="G543" t="s">
        <v>167</v>
      </c>
      <c r="H543">
        <v>58727</v>
      </c>
      <c r="I543" t="str">
        <f>HYPERLINK("https://www.inaturalist.org/taxa/75758-Berberis-vulgaris", "View")</f>
        <v>View</v>
      </c>
      <c r="J543" t="s">
        <v>179</v>
      </c>
      <c r="K543" t="s">
        <v>180</v>
      </c>
      <c r="L543">
        <v>75758</v>
      </c>
      <c r="M543">
        <v>8.51</v>
      </c>
      <c r="N543">
        <v>81.47</v>
      </c>
      <c r="P543">
        <v>0</v>
      </c>
      <c r="R543" t="s">
        <v>27</v>
      </c>
      <c r="S543" t="s">
        <v>24</v>
      </c>
      <c r="T543" t="s">
        <v>316</v>
      </c>
    </row>
    <row r="544" spans="1:20" x14ac:dyDescent="0.25">
      <c r="A544">
        <v>43</v>
      </c>
      <c r="B544" t="str">
        <f>HYPERLINK("https://imapinvasives.natureserve.org/imap/services/page/Presence/1120185.html", "View")</f>
        <v>View</v>
      </c>
      <c r="C544">
        <v>1120185</v>
      </c>
      <c r="D544">
        <v>1126343</v>
      </c>
      <c r="E544" t="str">
        <f>HYPERLINK("http://imap3images.s3-website-us-east-1.amazonaws.com/1126343/p/imap_app_photo_1615850406048.jpg", "View")</f>
        <v>View</v>
      </c>
      <c r="F544" t="s">
        <v>113</v>
      </c>
      <c r="G544" t="s">
        <v>167</v>
      </c>
      <c r="H544">
        <v>58727</v>
      </c>
      <c r="I544" t="str">
        <f>HYPERLINK("https://www.inaturalist.org/taxa/58727-Berberis-thunbergii", "View")</f>
        <v>View</v>
      </c>
      <c r="J544" t="s">
        <v>113</v>
      </c>
      <c r="K544" t="s">
        <v>114</v>
      </c>
      <c r="L544">
        <v>58727</v>
      </c>
      <c r="M544">
        <v>23.32</v>
      </c>
      <c r="N544">
        <v>89.49</v>
      </c>
      <c r="P544">
        <v>1</v>
      </c>
      <c r="R544" t="s">
        <v>29</v>
      </c>
      <c r="S544" t="s">
        <v>64</v>
      </c>
      <c r="T544" t="s">
        <v>317</v>
      </c>
    </row>
    <row r="545" spans="1:20" x14ac:dyDescent="0.25">
      <c r="A545">
        <v>44</v>
      </c>
      <c r="B545" t="str">
        <f>HYPERLINK("https://imapinvasives.natureserve.org/imap/services/page/Presence/1039446.html", "View")</f>
        <v>View</v>
      </c>
      <c r="C545">
        <v>1039446</v>
      </c>
      <c r="D545">
        <v>1043225</v>
      </c>
      <c r="E545" t="str">
        <f>HYPERLINK("http://imap3images.s3-website-us-east-1.amazonaws.com/1043225/p/Berberis_thunbergii_Phillips_May_8.JPG", "View")</f>
        <v>View</v>
      </c>
      <c r="F545" t="s">
        <v>113</v>
      </c>
      <c r="G545" t="s">
        <v>167</v>
      </c>
      <c r="H545">
        <v>58727</v>
      </c>
      <c r="I545" t="str">
        <f>HYPERLINK("https://www.inaturalist.org/taxa/130364-Taenidia-integerrima", "View")</f>
        <v>View</v>
      </c>
      <c r="J545" t="s">
        <v>181</v>
      </c>
      <c r="K545" t="s">
        <v>182</v>
      </c>
      <c r="L545">
        <v>130364</v>
      </c>
      <c r="M545">
        <v>4.5199999999999996</v>
      </c>
      <c r="N545">
        <v>46.52</v>
      </c>
      <c r="P545">
        <v>0</v>
      </c>
      <c r="R545" t="s">
        <v>32</v>
      </c>
      <c r="S545" t="s">
        <v>33</v>
      </c>
      <c r="T545" t="s">
        <v>317</v>
      </c>
    </row>
    <row r="546" spans="1:20" x14ac:dyDescent="0.25">
      <c r="A546">
        <v>45</v>
      </c>
      <c r="B546" t="str">
        <f>HYPERLINK("https://imapinvasives.natureserve.org/imap/services/page/Presence/1148867.html", "View")</f>
        <v>View</v>
      </c>
      <c r="C546">
        <v>1148867</v>
      </c>
      <c r="D546">
        <v>1155638</v>
      </c>
      <c r="E546" t="str">
        <f>HYPERLINK("http://imap3images.s3-website-us-east-1.amazonaws.com/1155638/p/imap_app_photo_1625166628437.jpg", "View")</f>
        <v>View</v>
      </c>
      <c r="F546" t="s">
        <v>113</v>
      </c>
      <c r="G546" t="s">
        <v>167</v>
      </c>
      <c r="H546">
        <v>58727</v>
      </c>
      <c r="I546" t="str">
        <f t="shared" ref="I546:I552" si="24">HYPERLINK("https://www.inaturalist.org/taxa/58727-Berberis-thunbergii", "View")</f>
        <v>View</v>
      </c>
      <c r="J546" t="s">
        <v>113</v>
      </c>
      <c r="K546" t="s">
        <v>114</v>
      </c>
      <c r="L546">
        <v>58727</v>
      </c>
      <c r="M546">
        <v>14.57</v>
      </c>
      <c r="N546">
        <v>90.83</v>
      </c>
      <c r="P546">
        <v>1</v>
      </c>
      <c r="R546" t="s">
        <v>23</v>
      </c>
      <c r="S546" t="s">
        <v>24</v>
      </c>
      <c r="T546" t="s">
        <v>316</v>
      </c>
    </row>
    <row r="547" spans="1:20" x14ac:dyDescent="0.25">
      <c r="A547">
        <v>46</v>
      </c>
      <c r="B547" t="str">
        <f>HYPERLINK("https://imapinvasives.natureserve.org/imap/services/page/Presence/1339848.html", "View")</f>
        <v>View</v>
      </c>
      <c r="C547">
        <v>1339848</v>
      </c>
      <c r="D547">
        <v>1354908</v>
      </c>
      <c r="E547" t="str">
        <f>HYPERLINK("http://imap3images.s3-website-us-east-1.amazonaws.com/1354908/p/Photo1-20230710-191144.jpg", "View")</f>
        <v>View</v>
      </c>
      <c r="F547" t="s">
        <v>113</v>
      </c>
      <c r="G547" t="s">
        <v>167</v>
      </c>
      <c r="H547">
        <v>58727</v>
      </c>
      <c r="I547" t="str">
        <f t="shared" si="24"/>
        <v>View</v>
      </c>
      <c r="J547" t="s">
        <v>113</v>
      </c>
      <c r="K547" t="s">
        <v>114</v>
      </c>
      <c r="L547">
        <v>58727</v>
      </c>
      <c r="M547">
        <v>17.989999999999998</v>
      </c>
      <c r="N547">
        <v>86.76</v>
      </c>
      <c r="P547">
        <v>1</v>
      </c>
      <c r="R547" t="s">
        <v>23</v>
      </c>
      <c r="S547" t="s">
        <v>24</v>
      </c>
      <c r="T547" t="s">
        <v>316</v>
      </c>
    </row>
    <row r="548" spans="1:20" x14ac:dyDescent="0.25">
      <c r="A548">
        <v>47</v>
      </c>
      <c r="B548" t="str">
        <f>HYPERLINK("https://imapinvasives.natureserve.org/imap/services/page/Presence/1332213.html", "View")</f>
        <v>View</v>
      </c>
      <c r="C548">
        <v>1332213</v>
      </c>
      <c r="D548">
        <v>1345972</v>
      </c>
      <c r="E548" t="str">
        <f>HYPERLINK("http://imap3images.s3-website-us-east-1.amazonaws.com/1345972/p/imap_app_photo_1685226365611.jpg", "View")</f>
        <v>View</v>
      </c>
      <c r="F548" t="s">
        <v>113</v>
      </c>
      <c r="G548" t="s">
        <v>167</v>
      </c>
      <c r="H548">
        <v>58727</v>
      </c>
      <c r="I548" t="str">
        <f t="shared" si="24"/>
        <v>View</v>
      </c>
      <c r="J548" t="s">
        <v>113</v>
      </c>
      <c r="K548" t="s">
        <v>114</v>
      </c>
      <c r="L548">
        <v>58727</v>
      </c>
      <c r="M548">
        <v>71.510000000000005</v>
      </c>
      <c r="N548">
        <v>99.62</v>
      </c>
      <c r="P548">
        <v>1</v>
      </c>
      <c r="R548" t="s">
        <v>23</v>
      </c>
      <c r="S548" t="s">
        <v>24</v>
      </c>
      <c r="T548" t="s">
        <v>316</v>
      </c>
    </row>
    <row r="549" spans="1:20" x14ac:dyDescent="0.25">
      <c r="A549">
        <v>48</v>
      </c>
      <c r="B549" t="str">
        <f>HYPERLINK("https://imapinvasives.natureserve.org/imap/services/page/Presence/1069650.html", "View")</f>
        <v>View</v>
      </c>
      <c r="C549">
        <v>1069650</v>
      </c>
      <c r="D549">
        <v>1074519</v>
      </c>
      <c r="E549" t="str">
        <f>HYPERLINK("http://imap3images.s3-website-us-east-1.amazonaws.com/1074519/p/imap_app_photo_1600638070454.jpg", "View")</f>
        <v>View</v>
      </c>
      <c r="F549" t="s">
        <v>113</v>
      </c>
      <c r="G549" t="s">
        <v>167</v>
      </c>
      <c r="H549">
        <v>58727</v>
      </c>
      <c r="I549" t="str">
        <f t="shared" si="24"/>
        <v>View</v>
      </c>
      <c r="J549" t="s">
        <v>113</v>
      </c>
      <c r="K549" t="s">
        <v>114</v>
      </c>
      <c r="L549">
        <v>58727</v>
      </c>
      <c r="M549">
        <v>50.35</v>
      </c>
      <c r="N549">
        <v>83.43</v>
      </c>
      <c r="P549">
        <v>1</v>
      </c>
      <c r="R549" t="s">
        <v>23</v>
      </c>
      <c r="S549" t="s">
        <v>24</v>
      </c>
      <c r="T549" t="s">
        <v>316</v>
      </c>
    </row>
    <row r="550" spans="1:20" x14ac:dyDescent="0.25">
      <c r="A550">
        <v>49</v>
      </c>
      <c r="B550" t="str">
        <f>HYPERLINK("https://imapinvasives.natureserve.org/imap/services/page/Presence/1160488.html", "View")</f>
        <v>View</v>
      </c>
      <c r="C550">
        <v>1160488</v>
      </c>
      <c r="D550">
        <v>1167608</v>
      </c>
      <c r="E550" t="str">
        <f>HYPERLINK("http://imap3images.s3-website-us-east-1.amazonaws.com/1167608/p/imap_app_photo_1630277528445.jpg", "View")</f>
        <v>View</v>
      </c>
      <c r="F550" t="s">
        <v>113</v>
      </c>
      <c r="G550" t="s">
        <v>167</v>
      </c>
      <c r="H550">
        <v>58727</v>
      </c>
      <c r="I550" t="str">
        <f t="shared" si="24"/>
        <v>View</v>
      </c>
      <c r="J550" t="s">
        <v>113</v>
      </c>
      <c r="K550" t="s">
        <v>114</v>
      </c>
      <c r="L550">
        <v>58727</v>
      </c>
      <c r="M550">
        <v>26.4</v>
      </c>
      <c r="N550">
        <v>99.89</v>
      </c>
      <c r="P550">
        <v>1</v>
      </c>
      <c r="R550" t="s">
        <v>23</v>
      </c>
      <c r="S550" t="s">
        <v>24</v>
      </c>
      <c r="T550" t="s">
        <v>316</v>
      </c>
    </row>
    <row r="551" spans="1:20" x14ac:dyDescent="0.25">
      <c r="A551">
        <v>50</v>
      </c>
      <c r="B551" t="str">
        <f>HYPERLINK("https://imapinvasives.natureserve.org/imap/services/page/Presence/532067.html", "View")</f>
        <v>View</v>
      </c>
      <c r="C551">
        <v>532067</v>
      </c>
      <c r="D551">
        <v>532067</v>
      </c>
      <c r="E551" t="str">
        <f>HYPERLINK("http://imap3images.s3-website-us-east-1.amazonaws.com/532067/p/photourl1_2018_10_04_zoeloomis_wf3tvonn.jpg", "View")</f>
        <v>View</v>
      </c>
      <c r="F551" t="s">
        <v>113</v>
      </c>
      <c r="G551" t="s">
        <v>167</v>
      </c>
      <c r="H551">
        <v>58727</v>
      </c>
      <c r="I551" t="str">
        <f t="shared" si="24"/>
        <v>View</v>
      </c>
      <c r="J551" t="s">
        <v>113</v>
      </c>
      <c r="K551" t="s">
        <v>114</v>
      </c>
      <c r="L551">
        <v>58727</v>
      </c>
      <c r="M551">
        <v>21.2</v>
      </c>
      <c r="N551">
        <v>92.3</v>
      </c>
      <c r="P551">
        <v>1</v>
      </c>
      <c r="R551" t="s">
        <v>23</v>
      </c>
      <c r="S551" t="s">
        <v>24</v>
      </c>
      <c r="T551" t="s">
        <v>316</v>
      </c>
    </row>
    <row r="552" spans="1:20" x14ac:dyDescent="0.25">
      <c r="A552">
        <v>51</v>
      </c>
      <c r="B552" t="str">
        <f>HYPERLINK("https://imapinvasives.natureserve.org/imap/services/page/Presence/1316717.html", "View")</f>
        <v>View</v>
      </c>
      <c r="C552">
        <v>1316717</v>
      </c>
      <c r="D552">
        <v>1327771</v>
      </c>
      <c r="E552" t="str">
        <f>HYPERLINK("http://imap3images.s3-website-us-east-1.amazonaws.com/1327771/p/Photo_1.jpg", "View")</f>
        <v>View</v>
      </c>
      <c r="F552" t="s">
        <v>113</v>
      </c>
      <c r="G552" t="s">
        <v>167</v>
      </c>
      <c r="H552">
        <v>58727</v>
      </c>
      <c r="I552" t="str">
        <f t="shared" si="24"/>
        <v>View</v>
      </c>
      <c r="J552" t="s">
        <v>113</v>
      </c>
      <c r="K552" t="s">
        <v>114</v>
      </c>
      <c r="L552">
        <v>58727</v>
      </c>
      <c r="M552">
        <v>58.09</v>
      </c>
      <c r="N552">
        <v>99.57</v>
      </c>
      <c r="P552">
        <v>1</v>
      </c>
      <c r="R552" t="s">
        <v>23</v>
      </c>
      <c r="S552" t="s">
        <v>24</v>
      </c>
      <c r="T552" t="s">
        <v>316</v>
      </c>
    </row>
    <row r="553" spans="1:20" x14ac:dyDescent="0.25">
      <c r="A553">
        <v>52</v>
      </c>
      <c r="B553" t="str">
        <f>HYPERLINK("https://imapinvasives.natureserve.org/imap/services/page/Presence/1051213.html", "View")</f>
        <v>View</v>
      </c>
      <c r="C553">
        <v>1051213</v>
      </c>
      <c r="D553">
        <v>1055271</v>
      </c>
      <c r="E553" t="str">
        <f>HYPERLINK("http://imap3images.s3-website-us-east-1.amazonaws.com/1055271/p/imap_app_photo_1592584336484.jpg", "View")</f>
        <v>View</v>
      </c>
      <c r="F553" t="s">
        <v>113</v>
      </c>
      <c r="G553" t="s">
        <v>167</v>
      </c>
      <c r="H553">
        <v>58727</v>
      </c>
      <c r="I553" t="str">
        <f>HYPERLINK("https://www.inaturalist.org/taxa/58727-Berberis-thunbergii", "View")</f>
        <v>View</v>
      </c>
      <c r="J553" t="s">
        <v>113</v>
      </c>
      <c r="K553" t="s">
        <v>114</v>
      </c>
      <c r="L553">
        <v>58727</v>
      </c>
      <c r="M553">
        <v>41.81</v>
      </c>
      <c r="N553">
        <v>99</v>
      </c>
      <c r="P553">
        <v>1</v>
      </c>
      <c r="R553" t="s">
        <v>23</v>
      </c>
      <c r="S553" t="s">
        <v>24</v>
      </c>
      <c r="T553" t="s">
        <v>316</v>
      </c>
    </row>
    <row r="554" spans="1:20" x14ac:dyDescent="0.25">
      <c r="A554">
        <v>53</v>
      </c>
      <c r="B554" t="str">
        <f>HYPERLINK("https://imapinvasives.natureserve.org/imap/services/page/Presence/1349039.html", "View")</f>
        <v>View</v>
      </c>
      <c r="C554">
        <v>1349039</v>
      </c>
      <c r="D554">
        <v>1365810</v>
      </c>
      <c r="E554" t="str">
        <f>HYPERLINK("http://imap3images.s3-website-us-east-1.amazonaws.com/1365810/p/imap_app_photo_1692616225924.jpg", "View")</f>
        <v>View</v>
      </c>
      <c r="F554" t="s">
        <v>113</v>
      </c>
      <c r="G554" t="s">
        <v>167</v>
      </c>
      <c r="H554">
        <v>58727</v>
      </c>
      <c r="I554" t="str">
        <f>HYPERLINK("https://www.inaturalist.org/taxa/58727-Berberis-thunbergii", "View")</f>
        <v>View</v>
      </c>
      <c r="J554" t="s">
        <v>113</v>
      </c>
      <c r="K554" t="s">
        <v>114</v>
      </c>
      <c r="L554">
        <v>58727</v>
      </c>
      <c r="M554">
        <v>41.81</v>
      </c>
      <c r="N554">
        <v>98.3</v>
      </c>
      <c r="P554">
        <v>1</v>
      </c>
      <c r="R554" t="s">
        <v>23</v>
      </c>
      <c r="S554" t="s">
        <v>24</v>
      </c>
      <c r="T554" t="s">
        <v>316</v>
      </c>
    </row>
    <row r="555" spans="1:20" x14ac:dyDescent="0.25">
      <c r="A555">
        <v>54</v>
      </c>
      <c r="B555" t="str">
        <f>HYPERLINK("https://imapinvasives.natureserve.org/imap/services/page/Presence/1249408.html", "View")</f>
        <v>View</v>
      </c>
      <c r="C555">
        <v>1249408</v>
      </c>
      <c r="D555">
        <v>1257584</v>
      </c>
      <c r="E555" t="str">
        <f>HYPERLINK("http://imap3images.s3-website-us-east-1.amazonaws.com/1257584/p/Alasa_Farms_-_20210723_-_Berberis_thunbergii-11.jpg", "View")</f>
        <v>View</v>
      </c>
      <c r="F555" t="s">
        <v>113</v>
      </c>
      <c r="G555" t="s">
        <v>167</v>
      </c>
      <c r="H555">
        <v>58727</v>
      </c>
      <c r="I555" t="str">
        <f>HYPERLINK("https://www.inaturalist.org/taxa/632667-Vincetoxicum-rossicum", "View")</f>
        <v>View</v>
      </c>
      <c r="J555" t="s">
        <v>183</v>
      </c>
      <c r="K555" t="s">
        <v>184</v>
      </c>
      <c r="L555">
        <v>632667</v>
      </c>
      <c r="M555">
        <v>26.88</v>
      </c>
      <c r="N555">
        <v>4.79</v>
      </c>
      <c r="P555">
        <v>0</v>
      </c>
      <c r="R555" t="s">
        <v>40</v>
      </c>
      <c r="S555" t="s">
        <v>79</v>
      </c>
      <c r="T555" t="s">
        <v>317</v>
      </c>
    </row>
    <row r="556" spans="1:20" x14ac:dyDescent="0.25">
      <c r="A556">
        <v>55</v>
      </c>
      <c r="B556" t="str">
        <f>HYPERLINK("https://imapinvasives.natureserve.org/imap/services/page/Presence/1269271.html", "View")</f>
        <v>View</v>
      </c>
      <c r="C556">
        <v>1269271</v>
      </c>
      <c r="D556">
        <v>1278191</v>
      </c>
      <c r="E556" t="str">
        <f>HYPERLINK("http://imap3images.s3-website-us-east-1.amazonaws.com/1278191/p/imap_app_photo_1649121162168.jpg", "View")</f>
        <v>View</v>
      </c>
      <c r="F556" t="s">
        <v>113</v>
      </c>
      <c r="G556" t="s">
        <v>167</v>
      </c>
      <c r="H556">
        <v>58727</v>
      </c>
      <c r="I556" t="str">
        <f t="shared" ref="I556:I564" si="25">HYPERLINK("https://www.inaturalist.org/taxa/58727-Berberis-thunbergii", "View")</f>
        <v>View</v>
      </c>
      <c r="J556" t="s">
        <v>113</v>
      </c>
      <c r="K556" t="s">
        <v>114</v>
      </c>
      <c r="L556">
        <v>58727</v>
      </c>
      <c r="M556">
        <v>84.64</v>
      </c>
      <c r="N556">
        <v>96.81</v>
      </c>
      <c r="P556">
        <v>1</v>
      </c>
      <c r="R556" t="s">
        <v>23</v>
      </c>
      <c r="S556" t="s">
        <v>24</v>
      </c>
      <c r="T556" t="s">
        <v>316</v>
      </c>
    </row>
    <row r="557" spans="1:20" x14ac:dyDescent="0.25">
      <c r="A557">
        <v>56</v>
      </c>
      <c r="B557" t="str">
        <f>HYPERLINK("https://imapinvasives.natureserve.org/imap/services/page/Presence/1410821.html", "View")</f>
        <v>View</v>
      </c>
      <c r="C557">
        <v>1410821</v>
      </c>
      <c r="D557">
        <v>1423361</v>
      </c>
      <c r="E557" t="str">
        <f>HYPERLINK("http://imap3images.s3-website-us-east-1.amazonaws.com/1423361/p/imap_app_photo_1717870623253.jpg", "View")</f>
        <v>View</v>
      </c>
      <c r="F557" t="s">
        <v>113</v>
      </c>
      <c r="G557" t="s">
        <v>167</v>
      </c>
      <c r="H557">
        <v>58727</v>
      </c>
      <c r="I557" t="str">
        <f t="shared" si="25"/>
        <v>View</v>
      </c>
      <c r="J557" t="s">
        <v>113</v>
      </c>
      <c r="K557" t="s">
        <v>114</v>
      </c>
      <c r="L557">
        <v>58727</v>
      </c>
      <c r="M557">
        <v>21.52</v>
      </c>
      <c r="N557">
        <v>98.61</v>
      </c>
      <c r="P557">
        <v>1</v>
      </c>
      <c r="R557" t="s">
        <v>23</v>
      </c>
      <c r="S557" t="s">
        <v>24</v>
      </c>
      <c r="T557" t="s">
        <v>316</v>
      </c>
    </row>
    <row r="558" spans="1:20" x14ac:dyDescent="0.25">
      <c r="A558">
        <v>57</v>
      </c>
      <c r="B558" t="str">
        <f>HYPERLINK("https://imapinvasives.natureserve.org/imap/services/page/Presence/1036870.html", "View")</f>
        <v>View</v>
      </c>
      <c r="C558">
        <v>1036870</v>
      </c>
      <c r="D558">
        <v>1040164</v>
      </c>
      <c r="E558" t="str">
        <f>HYPERLINK("http://imap3images.s3-website-us-east-1.amazonaws.com/1040164/p/imap_app_photo_1572872959867.jpg", "View")</f>
        <v>View</v>
      </c>
      <c r="F558" t="s">
        <v>113</v>
      </c>
      <c r="G558" t="s">
        <v>167</v>
      </c>
      <c r="H558">
        <v>58727</v>
      </c>
      <c r="I558" t="str">
        <f t="shared" si="25"/>
        <v>View</v>
      </c>
      <c r="J558" t="s">
        <v>113</v>
      </c>
      <c r="K558" t="s">
        <v>114</v>
      </c>
      <c r="L558">
        <v>58727</v>
      </c>
      <c r="M558">
        <v>18.149999999999999</v>
      </c>
      <c r="N558">
        <v>99.81</v>
      </c>
      <c r="P558">
        <v>1</v>
      </c>
      <c r="R558" t="s">
        <v>23</v>
      </c>
      <c r="S558" t="s">
        <v>24</v>
      </c>
      <c r="T558" t="s">
        <v>316</v>
      </c>
    </row>
    <row r="559" spans="1:20" x14ac:dyDescent="0.25">
      <c r="A559">
        <v>58</v>
      </c>
      <c r="B559" t="str">
        <f>HYPERLINK("https://imapinvasives.natureserve.org/imap/services/page/Presence/495365.html", "View")</f>
        <v>View</v>
      </c>
      <c r="C559">
        <v>495365</v>
      </c>
      <c r="D559">
        <v>495365</v>
      </c>
      <c r="E559" t="str">
        <f>HYPERLINK("http://imap3images.s3-website-us-east-1.amazonaws.com/495365/p/photourl1_2016_09_18_julgrinstead_woti6yyq.jpg", "View")</f>
        <v>View</v>
      </c>
      <c r="F559" t="s">
        <v>113</v>
      </c>
      <c r="G559" t="s">
        <v>167</v>
      </c>
      <c r="H559">
        <v>58727</v>
      </c>
      <c r="I559" t="str">
        <f t="shared" si="25"/>
        <v>View</v>
      </c>
      <c r="J559" t="s">
        <v>113</v>
      </c>
      <c r="K559" t="s">
        <v>114</v>
      </c>
      <c r="L559">
        <v>58727</v>
      </c>
      <c r="M559">
        <v>23.7</v>
      </c>
      <c r="N559">
        <v>99.63</v>
      </c>
      <c r="P559">
        <v>1</v>
      </c>
      <c r="R559" t="s">
        <v>23</v>
      </c>
      <c r="S559" t="s">
        <v>24</v>
      </c>
      <c r="T559" t="s">
        <v>316</v>
      </c>
    </row>
    <row r="560" spans="1:20" x14ac:dyDescent="0.25">
      <c r="A560">
        <v>59</v>
      </c>
      <c r="B560" t="str">
        <f>HYPERLINK("https://imapinvasives.natureserve.org/imap/services/page/Presence/1131704.html", "View")</f>
        <v>View</v>
      </c>
      <c r="C560">
        <v>1131704</v>
      </c>
      <c r="D560">
        <v>1138077</v>
      </c>
      <c r="E560" t="str">
        <f>HYPERLINK("http://imap3images.s3-website-us-east-1.amazonaws.com/1138077/p/imap_app_photo_1617986508206.jpg", "View")</f>
        <v>View</v>
      </c>
      <c r="F560" t="s">
        <v>113</v>
      </c>
      <c r="G560" t="s">
        <v>167</v>
      </c>
      <c r="H560">
        <v>58727</v>
      </c>
      <c r="I560" t="str">
        <f t="shared" si="25"/>
        <v>View</v>
      </c>
      <c r="J560" t="s">
        <v>113</v>
      </c>
      <c r="K560" t="s">
        <v>114</v>
      </c>
      <c r="L560">
        <v>58727</v>
      </c>
      <c r="M560">
        <v>71.510000000000005</v>
      </c>
      <c r="N560">
        <v>82.25</v>
      </c>
      <c r="P560">
        <v>1</v>
      </c>
      <c r="R560" t="s">
        <v>23</v>
      </c>
      <c r="S560" t="s">
        <v>24</v>
      </c>
      <c r="T560" t="s">
        <v>316</v>
      </c>
    </row>
    <row r="561" spans="1:20" x14ac:dyDescent="0.25">
      <c r="A561">
        <v>60</v>
      </c>
      <c r="B561" t="str">
        <f>HYPERLINK("https://imapinvasives.natureserve.org/imap/services/page/Presence/1335134.html", "View")</f>
        <v>View</v>
      </c>
      <c r="C561">
        <v>1335134</v>
      </c>
      <c r="D561">
        <v>1349399</v>
      </c>
      <c r="E561" t="str">
        <f>HYPERLINK("http://imap3images.s3-website-us-east-1.amazonaws.com/1349399/p/imap_app_photo_1686676347821.jpg", "View")</f>
        <v>View</v>
      </c>
      <c r="F561" t="s">
        <v>113</v>
      </c>
      <c r="G561" t="s">
        <v>167</v>
      </c>
      <c r="H561">
        <v>58727</v>
      </c>
      <c r="I561" t="str">
        <f t="shared" si="25"/>
        <v>View</v>
      </c>
      <c r="J561" t="s">
        <v>113</v>
      </c>
      <c r="K561" t="s">
        <v>114</v>
      </c>
      <c r="L561">
        <v>58727</v>
      </c>
      <c r="M561">
        <v>73.95</v>
      </c>
      <c r="N561">
        <v>99.13</v>
      </c>
      <c r="P561">
        <v>1</v>
      </c>
      <c r="R561" t="s">
        <v>23</v>
      </c>
      <c r="S561" t="s">
        <v>24</v>
      </c>
      <c r="T561" t="s">
        <v>316</v>
      </c>
    </row>
    <row r="562" spans="1:20" x14ac:dyDescent="0.25">
      <c r="A562">
        <v>61</v>
      </c>
      <c r="B562" t="str">
        <f>HYPERLINK("https://imapinvasives.natureserve.org/imap/services/page/Presence/1069733.html", "View")</f>
        <v>View</v>
      </c>
      <c r="C562">
        <v>1069733</v>
      </c>
      <c r="D562">
        <v>1074606</v>
      </c>
      <c r="E562" t="str">
        <f>HYPERLINK("http://imap3images.s3-website-us-east-1.amazonaws.com/1074606/p/imap_app_photo_1600791288051.jpg", "View")</f>
        <v>View</v>
      </c>
      <c r="F562" t="s">
        <v>113</v>
      </c>
      <c r="G562" t="s">
        <v>167</v>
      </c>
      <c r="H562">
        <v>58727</v>
      </c>
      <c r="I562" t="str">
        <f t="shared" si="25"/>
        <v>View</v>
      </c>
      <c r="J562" t="s">
        <v>113</v>
      </c>
      <c r="K562" t="s">
        <v>114</v>
      </c>
      <c r="L562">
        <v>58727</v>
      </c>
      <c r="M562">
        <v>25.76</v>
      </c>
      <c r="N562">
        <v>98.07</v>
      </c>
      <c r="P562">
        <v>1</v>
      </c>
      <c r="R562" t="s">
        <v>23</v>
      </c>
      <c r="S562" t="s">
        <v>24</v>
      </c>
      <c r="T562" t="s">
        <v>316</v>
      </c>
    </row>
    <row r="563" spans="1:20" x14ac:dyDescent="0.25">
      <c r="A563">
        <v>62</v>
      </c>
      <c r="B563" t="str">
        <f>HYPERLINK("https://imapinvasives.natureserve.org/imap/services/page/Presence/1316707.html", "View")</f>
        <v>View</v>
      </c>
      <c r="C563">
        <v>1316707</v>
      </c>
      <c r="D563">
        <v>1327759</v>
      </c>
      <c r="E563" t="str">
        <f>HYPERLINK("http://imap3images.s3-website-us-east-1.amazonaws.com/1327759/p/Photo_1.jpg", "View")</f>
        <v>View</v>
      </c>
      <c r="F563" t="s">
        <v>113</v>
      </c>
      <c r="G563" t="s">
        <v>167</v>
      </c>
      <c r="H563">
        <v>58727</v>
      </c>
      <c r="I563" t="str">
        <f t="shared" si="25"/>
        <v>View</v>
      </c>
      <c r="J563" t="s">
        <v>113</v>
      </c>
      <c r="K563" t="s">
        <v>114</v>
      </c>
      <c r="L563">
        <v>58727</v>
      </c>
      <c r="M563">
        <v>58.09</v>
      </c>
      <c r="N563">
        <v>99.34</v>
      </c>
      <c r="P563">
        <v>1</v>
      </c>
      <c r="R563" t="s">
        <v>23</v>
      </c>
      <c r="S563" t="s">
        <v>24</v>
      </c>
      <c r="T563" t="s">
        <v>316</v>
      </c>
    </row>
    <row r="564" spans="1:20" x14ac:dyDescent="0.25">
      <c r="A564">
        <v>63</v>
      </c>
      <c r="B564" t="str">
        <f>HYPERLINK("https://imapinvasives.natureserve.org/imap/services/page/Presence/1435870.html", "View")</f>
        <v>View</v>
      </c>
      <c r="C564">
        <v>1435870</v>
      </c>
      <c r="D564">
        <v>1449613</v>
      </c>
      <c r="E564" t="str">
        <f>HYPERLINK("http://imap3images.s3-website-us-east-1.amazonaws.com/1449613/p/Photo_1.jpg", "View")</f>
        <v>View</v>
      </c>
      <c r="F564" t="s">
        <v>113</v>
      </c>
      <c r="G564" t="s">
        <v>167</v>
      </c>
      <c r="H564">
        <v>58727</v>
      </c>
      <c r="I564" t="str">
        <f t="shared" si="25"/>
        <v>View</v>
      </c>
      <c r="J564" t="s">
        <v>113</v>
      </c>
      <c r="K564" t="s">
        <v>114</v>
      </c>
      <c r="L564">
        <v>58727</v>
      </c>
      <c r="M564">
        <v>64.72</v>
      </c>
      <c r="N564">
        <v>99.88</v>
      </c>
      <c r="P564">
        <v>1</v>
      </c>
      <c r="R564" t="s">
        <v>23</v>
      </c>
      <c r="S564" t="s">
        <v>24</v>
      </c>
      <c r="T564" t="s">
        <v>316</v>
      </c>
    </row>
    <row r="565" spans="1:20" x14ac:dyDescent="0.25">
      <c r="A565">
        <v>64</v>
      </c>
      <c r="B565" t="str">
        <f>HYPERLINK("https://imapinvasives.natureserve.org/imap/services/page/Presence/525092.html", "View")</f>
        <v>View</v>
      </c>
      <c r="C565">
        <v>525092</v>
      </c>
      <c r="D565">
        <v>525092</v>
      </c>
      <c r="E565" t="str">
        <f>HYPERLINK("http://imap3images.s3-website-us-east-1.amazonaws.com/525092/p/photourl1_2018_04_05_spebarrett_g5mz68ui.jpg", "View")</f>
        <v>View</v>
      </c>
      <c r="F565" t="s">
        <v>113</v>
      </c>
      <c r="G565" t="s">
        <v>167</v>
      </c>
      <c r="H565">
        <v>58727</v>
      </c>
      <c r="I565" t="str">
        <f>HYPERLINK("https://www.inaturalist.org/taxa/59773-Lonicera-morrowii", "View")</f>
        <v>View</v>
      </c>
      <c r="J565" t="s">
        <v>185</v>
      </c>
      <c r="K565" t="s">
        <v>186</v>
      </c>
      <c r="L565">
        <v>59773</v>
      </c>
      <c r="M565">
        <v>29.21</v>
      </c>
      <c r="N565">
        <v>6.25</v>
      </c>
      <c r="P565">
        <v>0</v>
      </c>
      <c r="R565" t="s">
        <v>40</v>
      </c>
      <c r="S565" t="s">
        <v>64</v>
      </c>
      <c r="T565" t="s">
        <v>317</v>
      </c>
    </row>
    <row r="566" spans="1:20" x14ac:dyDescent="0.25">
      <c r="A566">
        <v>65</v>
      </c>
      <c r="B566" t="str">
        <f>HYPERLINK("https://imapinvasives.natureserve.org/imap/services/page/Presence/1048437.html", "View")</f>
        <v>View</v>
      </c>
      <c r="C566">
        <v>1048437</v>
      </c>
      <c r="D566">
        <v>1052455</v>
      </c>
      <c r="E566" t="str">
        <f>HYPERLINK("http://imap3images.s3-website-us-east-1.amazonaws.com/1052455/p/imap_app_photo_1591447420992.jpg", "View")</f>
        <v>View</v>
      </c>
      <c r="F566" t="s">
        <v>113</v>
      </c>
      <c r="G566" t="s">
        <v>167</v>
      </c>
      <c r="H566">
        <v>58727</v>
      </c>
      <c r="I566" t="str">
        <f t="shared" ref="I566:I595" si="26">HYPERLINK("https://www.inaturalist.org/taxa/58727-Berberis-thunbergii", "View")</f>
        <v>View</v>
      </c>
      <c r="J566" t="s">
        <v>113</v>
      </c>
      <c r="K566" t="s">
        <v>114</v>
      </c>
      <c r="L566">
        <v>58727</v>
      </c>
      <c r="M566">
        <v>41.81</v>
      </c>
      <c r="N566">
        <v>97.96</v>
      </c>
      <c r="P566">
        <v>1</v>
      </c>
      <c r="R566" t="s">
        <v>23</v>
      </c>
      <c r="S566" t="s">
        <v>24</v>
      </c>
      <c r="T566" t="s">
        <v>316</v>
      </c>
    </row>
    <row r="567" spans="1:20" x14ac:dyDescent="0.25">
      <c r="A567">
        <v>66</v>
      </c>
      <c r="B567" t="str">
        <f>HYPERLINK("https://imapinvasives.natureserve.org/imap/services/page/Presence/1022570.html", "View")</f>
        <v>View</v>
      </c>
      <c r="C567">
        <v>1022570</v>
      </c>
      <c r="D567">
        <v>1023112</v>
      </c>
      <c r="E567" t="str">
        <f>HYPERLINK("http://imap3images.s3-website-us-east-1.amazonaws.com/1023112/p/Photo1-20180521-184300.jpg", "View")</f>
        <v>View</v>
      </c>
      <c r="F567" t="s">
        <v>113</v>
      </c>
      <c r="G567" t="s">
        <v>167</v>
      </c>
      <c r="H567">
        <v>58727</v>
      </c>
      <c r="I567" t="str">
        <f t="shared" si="26"/>
        <v>View</v>
      </c>
      <c r="J567" t="s">
        <v>113</v>
      </c>
      <c r="K567" t="s">
        <v>114</v>
      </c>
      <c r="L567">
        <v>58727</v>
      </c>
      <c r="M567">
        <v>27.77</v>
      </c>
      <c r="N567">
        <v>99.8</v>
      </c>
      <c r="P567">
        <v>1</v>
      </c>
      <c r="R567" t="s">
        <v>23</v>
      </c>
      <c r="S567" t="s">
        <v>24</v>
      </c>
      <c r="T567" t="s">
        <v>316</v>
      </c>
    </row>
    <row r="568" spans="1:20" x14ac:dyDescent="0.25">
      <c r="A568">
        <v>67</v>
      </c>
      <c r="B568" t="str">
        <f>HYPERLINK("https://imapinvasives.natureserve.org/imap/services/page/Presence/1157189.html", "View")</f>
        <v>View</v>
      </c>
      <c r="C568">
        <v>1157189</v>
      </c>
      <c r="D568">
        <v>1164229</v>
      </c>
      <c r="E568" t="str">
        <f>HYPERLINK("http://imap3images.s3-website-us-east-1.amazonaws.com/1164229/p/Photo_1.jpg", "View")</f>
        <v>View</v>
      </c>
      <c r="F568" t="s">
        <v>113</v>
      </c>
      <c r="G568" t="s">
        <v>167</v>
      </c>
      <c r="H568">
        <v>58727</v>
      </c>
      <c r="I568" t="str">
        <f t="shared" si="26"/>
        <v>View</v>
      </c>
      <c r="J568" t="s">
        <v>113</v>
      </c>
      <c r="K568" t="s">
        <v>114</v>
      </c>
      <c r="L568">
        <v>58727</v>
      </c>
      <c r="M568">
        <v>26.81</v>
      </c>
      <c r="N568">
        <v>99.99</v>
      </c>
      <c r="P568">
        <v>1</v>
      </c>
      <c r="R568" t="s">
        <v>23</v>
      </c>
      <c r="S568" t="s">
        <v>24</v>
      </c>
      <c r="T568" t="s">
        <v>316</v>
      </c>
    </row>
    <row r="569" spans="1:20" x14ac:dyDescent="0.25">
      <c r="A569">
        <v>68</v>
      </c>
      <c r="B569" t="str">
        <f>HYPERLINK("https://imapinvasives.natureserve.org/imap/services/page/Presence/1048300.html", "View")</f>
        <v>View</v>
      </c>
      <c r="C569">
        <v>1048300</v>
      </c>
      <c r="D569">
        <v>1052318</v>
      </c>
      <c r="E569" t="str">
        <f>HYPERLINK("http://imap3images.s3-website-us-east-1.amazonaws.com/1052318/p/imap_app_photo_1591379239495.jpg", "View")</f>
        <v>View</v>
      </c>
      <c r="F569" t="s">
        <v>113</v>
      </c>
      <c r="G569" t="s">
        <v>167</v>
      </c>
      <c r="H569">
        <v>58727</v>
      </c>
      <c r="I569" t="str">
        <f t="shared" si="26"/>
        <v>View</v>
      </c>
      <c r="J569" t="s">
        <v>113</v>
      </c>
      <c r="K569" t="s">
        <v>114</v>
      </c>
      <c r="L569">
        <v>58727</v>
      </c>
      <c r="M569">
        <v>41.81</v>
      </c>
      <c r="N569">
        <v>94.31</v>
      </c>
      <c r="P569">
        <v>1</v>
      </c>
      <c r="R569" t="s">
        <v>23</v>
      </c>
      <c r="S569" t="s">
        <v>24</v>
      </c>
      <c r="T569" t="s">
        <v>316</v>
      </c>
    </row>
    <row r="570" spans="1:20" x14ac:dyDescent="0.25">
      <c r="A570">
        <v>69</v>
      </c>
      <c r="B570" t="str">
        <f>HYPERLINK("https://imapinvasives.natureserve.org/imap/services/page/Presence/1164534.html", "View")</f>
        <v>View</v>
      </c>
      <c r="C570">
        <v>1164534</v>
      </c>
      <c r="D570">
        <v>1171769</v>
      </c>
      <c r="E570" t="str">
        <f>HYPERLINK("http://imap3images.s3-website-us-east-1.amazonaws.com/1171769/p/attachment1.jpg", "View")</f>
        <v>View</v>
      </c>
      <c r="F570" t="s">
        <v>113</v>
      </c>
      <c r="G570" t="s">
        <v>167</v>
      </c>
      <c r="H570">
        <v>58727</v>
      </c>
      <c r="I570" t="str">
        <f t="shared" si="26"/>
        <v>View</v>
      </c>
      <c r="J570" t="s">
        <v>113</v>
      </c>
      <c r="K570" t="s">
        <v>114</v>
      </c>
      <c r="L570">
        <v>58727</v>
      </c>
      <c r="M570">
        <v>22.1</v>
      </c>
      <c r="N570">
        <v>99.75</v>
      </c>
      <c r="P570">
        <v>1</v>
      </c>
      <c r="R570" t="s">
        <v>23</v>
      </c>
      <c r="S570" t="s">
        <v>24</v>
      </c>
      <c r="T570" t="s">
        <v>316</v>
      </c>
    </row>
    <row r="571" spans="1:20" x14ac:dyDescent="0.25">
      <c r="A571">
        <v>70</v>
      </c>
      <c r="B571" t="str">
        <f>HYPERLINK("https://imapinvasives.natureserve.org/imap/services/page/Presence/1062445.html", "View")</f>
        <v>View</v>
      </c>
      <c r="C571">
        <v>1062445</v>
      </c>
      <c r="D571">
        <v>1067114</v>
      </c>
      <c r="E571" t="str">
        <f>HYPERLINK("http://imap3images.s3-website-us-east-1.amazonaws.com/1067114/p/imap_app_photo_1597076727864.jpg", "View")</f>
        <v>View</v>
      </c>
      <c r="F571" t="s">
        <v>113</v>
      </c>
      <c r="G571" t="s">
        <v>167</v>
      </c>
      <c r="H571">
        <v>58727</v>
      </c>
      <c r="I571" t="str">
        <f t="shared" si="26"/>
        <v>View</v>
      </c>
      <c r="J571" t="s">
        <v>113</v>
      </c>
      <c r="K571" t="s">
        <v>114</v>
      </c>
      <c r="L571">
        <v>58727</v>
      </c>
      <c r="M571">
        <v>25.76</v>
      </c>
      <c r="N571">
        <v>97.26</v>
      </c>
      <c r="P571">
        <v>1</v>
      </c>
      <c r="R571" t="s">
        <v>23</v>
      </c>
      <c r="S571" t="s">
        <v>24</v>
      </c>
      <c r="T571" t="s">
        <v>316</v>
      </c>
    </row>
    <row r="572" spans="1:20" x14ac:dyDescent="0.25">
      <c r="A572">
        <v>71</v>
      </c>
      <c r="B572" t="str">
        <f>HYPERLINK("https://imapinvasives.natureserve.org/imap/services/page/Presence/1015338.html", "View")</f>
        <v>View</v>
      </c>
      <c r="C572">
        <v>1015338</v>
      </c>
      <c r="D572">
        <v>1015699</v>
      </c>
      <c r="E572" t="str">
        <f>HYPERLINK("http://imap3images.s3-website-us-east-1.amazonaws.com/1015699/p/imap_app_photo_1559244957189.jpg", "View")</f>
        <v>View</v>
      </c>
      <c r="F572" t="s">
        <v>113</v>
      </c>
      <c r="G572" t="s">
        <v>167</v>
      </c>
      <c r="H572">
        <v>58727</v>
      </c>
      <c r="I572" t="str">
        <f t="shared" si="26"/>
        <v>View</v>
      </c>
      <c r="J572" t="s">
        <v>113</v>
      </c>
      <c r="K572" t="s">
        <v>114</v>
      </c>
      <c r="L572">
        <v>58727</v>
      </c>
      <c r="M572">
        <v>64.72</v>
      </c>
      <c r="N572">
        <v>90.06</v>
      </c>
      <c r="P572">
        <v>1</v>
      </c>
      <c r="R572" t="s">
        <v>23</v>
      </c>
      <c r="S572" t="s">
        <v>24</v>
      </c>
      <c r="T572" t="s">
        <v>316</v>
      </c>
    </row>
    <row r="573" spans="1:20" x14ac:dyDescent="0.25">
      <c r="A573">
        <v>72</v>
      </c>
      <c r="B573" t="str">
        <f>HYPERLINK("https://imapinvasives.natureserve.org/imap/services/page/Presence/1048652.html", "View")</f>
        <v>View</v>
      </c>
      <c r="C573">
        <v>1048652</v>
      </c>
      <c r="D573">
        <v>1052670</v>
      </c>
      <c r="E573" t="str">
        <f>HYPERLINK("http://imap3images.s3-website-us-east-1.amazonaws.com/1052670/p/imap_app_photo_1591636800057.jpg", "View")</f>
        <v>View</v>
      </c>
      <c r="F573" t="s">
        <v>113</v>
      </c>
      <c r="G573" t="s">
        <v>167</v>
      </c>
      <c r="H573">
        <v>58727</v>
      </c>
      <c r="I573" t="str">
        <f t="shared" si="26"/>
        <v>View</v>
      </c>
      <c r="J573" t="s">
        <v>113</v>
      </c>
      <c r="K573" t="s">
        <v>114</v>
      </c>
      <c r="L573">
        <v>58727</v>
      </c>
      <c r="M573">
        <v>41.81</v>
      </c>
      <c r="N573">
        <v>99.73</v>
      </c>
      <c r="P573">
        <v>1</v>
      </c>
      <c r="R573" t="s">
        <v>23</v>
      </c>
      <c r="S573" t="s">
        <v>24</v>
      </c>
      <c r="T573" t="s">
        <v>316</v>
      </c>
    </row>
    <row r="574" spans="1:20" x14ac:dyDescent="0.25">
      <c r="A574">
        <v>73</v>
      </c>
      <c r="B574" t="str">
        <f>HYPERLINK("https://imapinvasives.natureserve.org/imap/services/page/Presence/1280258.html", "View")</f>
        <v>View</v>
      </c>
      <c r="C574">
        <v>1280258</v>
      </c>
      <c r="D574">
        <v>1289648</v>
      </c>
      <c r="E574" t="str">
        <f>HYPERLINK("http://imap3images.s3-website-us-east-1.amazonaws.com/1289648/p/imap_app_photo_1656445718421.jpg", "View")</f>
        <v>View</v>
      </c>
      <c r="F574" t="s">
        <v>113</v>
      </c>
      <c r="G574" t="s">
        <v>167</v>
      </c>
      <c r="H574">
        <v>58727</v>
      </c>
      <c r="I574" t="str">
        <f t="shared" si="26"/>
        <v>View</v>
      </c>
      <c r="J574" t="s">
        <v>113</v>
      </c>
      <c r="K574" t="s">
        <v>114</v>
      </c>
      <c r="L574">
        <v>58727</v>
      </c>
      <c r="M574">
        <v>25.76</v>
      </c>
      <c r="N574">
        <v>99.73</v>
      </c>
      <c r="P574">
        <v>1</v>
      </c>
      <c r="R574" t="s">
        <v>23</v>
      </c>
      <c r="S574" t="s">
        <v>24</v>
      </c>
      <c r="T574" t="s">
        <v>316</v>
      </c>
    </row>
    <row r="575" spans="1:20" x14ac:dyDescent="0.25">
      <c r="A575">
        <v>74</v>
      </c>
      <c r="B575" t="str">
        <f>HYPERLINK("https://imapinvasives.natureserve.org/imap/services/page/Presence/1047713.html", "View")</f>
        <v>View</v>
      </c>
      <c r="C575">
        <v>1047713</v>
      </c>
      <c r="D575">
        <v>1051706</v>
      </c>
      <c r="E575" t="str">
        <f>HYPERLINK("http://imap3images.s3-website-us-east-1.amazonaws.com/1051706/p/imap_app_photo_1591136372002.jpg", "View")</f>
        <v>View</v>
      </c>
      <c r="F575" t="s">
        <v>113</v>
      </c>
      <c r="G575" t="s">
        <v>167</v>
      </c>
      <c r="H575">
        <v>58727</v>
      </c>
      <c r="I575" t="str">
        <f t="shared" si="26"/>
        <v>View</v>
      </c>
      <c r="J575" t="s">
        <v>113</v>
      </c>
      <c r="K575" t="s">
        <v>114</v>
      </c>
      <c r="L575">
        <v>58727</v>
      </c>
      <c r="M575">
        <v>41.81</v>
      </c>
      <c r="N575">
        <v>99.5</v>
      </c>
      <c r="P575">
        <v>1</v>
      </c>
      <c r="R575" t="s">
        <v>23</v>
      </c>
      <c r="S575" t="s">
        <v>24</v>
      </c>
      <c r="T575" t="s">
        <v>316</v>
      </c>
    </row>
    <row r="576" spans="1:20" x14ac:dyDescent="0.25">
      <c r="A576">
        <v>75</v>
      </c>
      <c r="B576" t="str">
        <f>HYPERLINK("https://imapinvasives.natureserve.org/imap/services/page/Presence/495481.html", "View")</f>
        <v>View</v>
      </c>
      <c r="C576">
        <v>495481</v>
      </c>
      <c r="D576">
        <v>495481</v>
      </c>
      <c r="E576" t="str">
        <f>HYPERLINK("http://imap3images.s3-website-us-east-1.amazonaws.com/495481/p/photourl1_2016_09_22_julgrinstead_v2kia2y0.jpg", "View")</f>
        <v>View</v>
      </c>
      <c r="F576" t="s">
        <v>113</v>
      </c>
      <c r="G576" t="s">
        <v>167</v>
      </c>
      <c r="H576">
        <v>58727</v>
      </c>
      <c r="I576" t="str">
        <f t="shared" si="26"/>
        <v>View</v>
      </c>
      <c r="J576" t="s">
        <v>113</v>
      </c>
      <c r="K576" t="s">
        <v>114</v>
      </c>
      <c r="L576">
        <v>58727</v>
      </c>
      <c r="M576">
        <v>23.7</v>
      </c>
      <c r="N576">
        <v>99.95</v>
      </c>
      <c r="P576">
        <v>1</v>
      </c>
      <c r="R576" t="s">
        <v>23</v>
      </c>
      <c r="S576" t="s">
        <v>24</v>
      </c>
      <c r="T576" t="s">
        <v>316</v>
      </c>
    </row>
    <row r="577" spans="1:20" x14ac:dyDescent="0.25">
      <c r="A577">
        <v>76</v>
      </c>
      <c r="B577" t="str">
        <f>HYPERLINK("https://imapinvasives.natureserve.org/imap/services/page/Presence/1283997.html", "View")</f>
        <v>View</v>
      </c>
      <c r="C577">
        <v>1283997</v>
      </c>
      <c r="D577">
        <v>1293568</v>
      </c>
      <c r="E577" t="str">
        <f>HYPERLINK("http://imap3images.s3-website-us-east-1.amazonaws.com/1293568/p/imap_app_photo_1658881774160.jpg", "View")</f>
        <v>View</v>
      </c>
      <c r="F577" t="s">
        <v>113</v>
      </c>
      <c r="G577" t="s">
        <v>167</v>
      </c>
      <c r="H577">
        <v>58727</v>
      </c>
      <c r="I577" t="str">
        <f t="shared" si="26"/>
        <v>View</v>
      </c>
      <c r="J577" t="s">
        <v>113</v>
      </c>
      <c r="K577" t="s">
        <v>114</v>
      </c>
      <c r="L577">
        <v>58727</v>
      </c>
      <c r="M577">
        <v>25.76</v>
      </c>
      <c r="N577">
        <v>99.86</v>
      </c>
      <c r="P577">
        <v>1</v>
      </c>
      <c r="R577" t="s">
        <v>23</v>
      </c>
      <c r="S577" t="s">
        <v>24</v>
      </c>
      <c r="T577" t="s">
        <v>316</v>
      </c>
    </row>
    <row r="578" spans="1:20" x14ac:dyDescent="0.25">
      <c r="A578">
        <v>77</v>
      </c>
      <c r="B578" t="str">
        <f>HYPERLINK("https://imapinvasives.natureserve.org/imap/services/page/Presence/1053106.html", "View")</f>
        <v>View</v>
      </c>
      <c r="C578">
        <v>1053106</v>
      </c>
      <c r="D578">
        <v>1057426</v>
      </c>
      <c r="E578" t="str">
        <f>HYPERLINK("http://imap3images.s3-website-us-east-1.amazonaws.com/1057426/p/imap_app_photo_1593525413432.jpg", "View")</f>
        <v>View</v>
      </c>
      <c r="F578" t="s">
        <v>113</v>
      </c>
      <c r="G578" t="s">
        <v>167</v>
      </c>
      <c r="H578">
        <v>58727</v>
      </c>
      <c r="I578" t="str">
        <f t="shared" si="26"/>
        <v>View</v>
      </c>
      <c r="J578" t="s">
        <v>113</v>
      </c>
      <c r="K578" t="s">
        <v>114</v>
      </c>
      <c r="L578">
        <v>58727</v>
      </c>
      <c r="M578">
        <v>41.81</v>
      </c>
      <c r="N578">
        <v>97.22</v>
      </c>
      <c r="P578">
        <v>1</v>
      </c>
      <c r="R578" t="s">
        <v>23</v>
      </c>
      <c r="S578" t="s">
        <v>24</v>
      </c>
      <c r="T578" t="s">
        <v>316</v>
      </c>
    </row>
    <row r="579" spans="1:20" x14ac:dyDescent="0.25">
      <c r="A579">
        <v>78</v>
      </c>
      <c r="B579" t="str">
        <f>HYPERLINK("https://imapinvasives.natureserve.org/imap/services/page/Presence/1017623.html", "View")</f>
        <v>View</v>
      </c>
      <c r="C579">
        <v>1017623</v>
      </c>
      <c r="D579">
        <v>1018118</v>
      </c>
      <c r="E579" t="str">
        <f>HYPERLINK("http://imap3images.s3-website-us-east-1.amazonaws.com/1018118/p/imap_app_photo_1560952357425.jpg", "View")</f>
        <v>View</v>
      </c>
      <c r="F579" t="s">
        <v>113</v>
      </c>
      <c r="G579" t="s">
        <v>167</v>
      </c>
      <c r="H579">
        <v>58727</v>
      </c>
      <c r="I579" t="str">
        <f t="shared" si="26"/>
        <v>View</v>
      </c>
      <c r="J579" t="s">
        <v>113</v>
      </c>
      <c r="K579" t="s">
        <v>114</v>
      </c>
      <c r="L579">
        <v>58727</v>
      </c>
      <c r="M579">
        <v>50.22</v>
      </c>
      <c r="N579">
        <v>99.46</v>
      </c>
      <c r="P579">
        <v>1</v>
      </c>
      <c r="R579" t="s">
        <v>23</v>
      </c>
      <c r="S579" t="s">
        <v>24</v>
      </c>
      <c r="T579" t="s">
        <v>316</v>
      </c>
    </row>
    <row r="580" spans="1:20" x14ac:dyDescent="0.25">
      <c r="A580">
        <v>79</v>
      </c>
      <c r="B580" t="str">
        <f>HYPERLINK("https://imapinvasives.natureserve.org/imap/services/page/Presence/1070706.html", "View")</f>
        <v>View</v>
      </c>
      <c r="C580">
        <v>1070706</v>
      </c>
      <c r="D580">
        <v>1075640</v>
      </c>
      <c r="E580" t="str">
        <f>HYPERLINK("http://imap3images.s3-website-us-east-1.amazonaws.com/1075640/p/attachment1.jpg", "View")</f>
        <v>View</v>
      </c>
      <c r="F580" t="s">
        <v>113</v>
      </c>
      <c r="G580" t="s">
        <v>167</v>
      </c>
      <c r="H580">
        <v>58727</v>
      </c>
      <c r="I580" t="str">
        <f t="shared" si="26"/>
        <v>View</v>
      </c>
      <c r="J580" t="s">
        <v>113</v>
      </c>
      <c r="K580" t="s">
        <v>114</v>
      </c>
      <c r="L580">
        <v>58727</v>
      </c>
      <c r="M580">
        <v>26.17</v>
      </c>
      <c r="N580">
        <v>91.81</v>
      </c>
      <c r="P580">
        <v>1</v>
      </c>
      <c r="R580" t="s">
        <v>23</v>
      </c>
      <c r="S580" t="s">
        <v>39</v>
      </c>
      <c r="T580" t="s">
        <v>317</v>
      </c>
    </row>
    <row r="581" spans="1:20" x14ac:dyDescent="0.25">
      <c r="A581">
        <v>80</v>
      </c>
      <c r="B581" t="str">
        <f>HYPERLINK("https://imapinvasives.natureserve.org/imap/services/page/Presence/1291920.html", "View")</f>
        <v>View</v>
      </c>
      <c r="C581">
        <v>1291920</v>
      </c>
      <c r="D581">
        <v>1302125</v>
      </c>
      <c r="E581" t="str">
        <f>HYPERLINK("http://imap3images.s3-website-us-east-1.amazonaws.com/1302125/p/imap_app_photo_1663168178382.jpg", "View")</f>
        <v>View</v>
      </c>
      <c r="F581" t="s">
        <v>113</v>
      </c>
      <c r="G581" t="s">
        <v>167</v>
      </c>
      <c r="H581">
        <v>58727</v>
      </c>
      <c r="I581" t="str">
        <f t="shared" si="26"/>
        <v>View</v>
      </c>
      <c r="J581" t="s">
        <v>113</v>
      </c>
      <c r="K581" t="s">
        <v>114</v>
      </c>
      <c r="L581">
        <v>58727</v>
      </c>
      <c r="M581">
        <v>7.74</v>
      </c>
      <c r="N581">
        <v>87.57</v>
      </c>
      <c r="P581">
        <v>1</v>
      </c>
      <c r="R581" t="s">
        <v>23</v>
      </c>
      <c r="S581" t="s">
        <v>24</v>
      </c>
      <c r="T581" t="s">
        <v>316</v>
      </c>
    </row>
    <row r="582" spans="1:20" x14ac:dyDescent="0.25">
      <c r="A582">
        <v>81</v>
      </c>
      <c r="B582" t="str">
        <f>HYPERLINK("https://imapinvasives.natureserve.org/imap/services/page/Presence/513403.html", "View")</f>
        <v>View</v>
      </c>
      <c r="C582">
        <v>513403</v>
      </c>
      <c r="D582">
        <v>513403</v>
      </c>
      <c r="E582" t="str">
        <f>HYPERLINK("http://imap3images.s3-website-us-east-1.amazonaws.com/513403/p/photourl1_2017_07_28_elirosenthal_t4z76nqa.jpg", "View")</f>
        <v>View</v>
      </c>
      <c r="F582" t="s">
        <v>113</v>
      </c>
      <c r="G582" t="s">
        <v>167</v>
      </c>
      <c r="H582">
        <v>58727</v>
      </c>
      <c r="I582" t="str">
        <f t="shared" si="26"/>
        <v>View</v>
      </c>
      <c r="J582" t="s">
        <v>113</v>
      </c>
      <c r="K582" t="s">
        <v>114</v>
      </c>
      <c r="L582">
        <v>58727</v>
      </c>
      <c r="M582">
        <v>52.13</v>
      </c>
      <c r="N582">
        <v>92.27</v>
      </c>
      <c r="P582">
        <v>1</v>
      </c>
      <c r="R582" t="s">
        <v>23</v>
      </c>
      <c r="S582" t="s">
        <v>24</v>
      </c>
      <c r="T582" t="s">
        <v>316</v>
      </c>
    </row>
    <row r="583" spans="1:20" x14ac:dyDescent="0.25">
      <c r="A583">
        <v>82</v>
      </c>
      <c r="B583" t="str">
        <f>HYPERLINK("https://imapinvasives.natureserve.org/imap/services/page/Presence/1052598.html", "View")</f>
        <v>View</v>
      </c>
      <c r="C583">
        <v>1052598</v>
      </c>
      <c r="D583">
        <v>1056859</v>
      </c>
      <c r="E583" t="str">
        <f>HYPERLINK("http://imap3images.s3-website-us-east-1.amazonaws.com/1056859/p/imap_app_photo_1593444344741.jpg", "View")</f>
        <v>View</v>
      </c>
      <c r="F583" t="s">
        <v>113</v>
      </c>
      <c r="G583" t="s">
        <v>167</v>
      </c>
      <c r="H583">
        <v>58727</v>
      </c>
      <c r="I583" t="str">
        <f t="shared" si="26"/>
        <v>View</v>
      </c>
      <c r="J583" t="s">
        <v>113</v>
      </c>
      <c r="K583" t="s">
        <v>114</v>
      </c>
      <c r="L583">
        <v>58727</v>
      </c>
      <c r="M583">
        <v>41.81</v>
      </c>
      <c r="N583">
        <v>99.73</v>
      </c>
      <c r="P583">
        <v>1</v>
      </c>
      <c r="R583" t="s">
        <v>23</v>
      </c>
      <c r="S583" t="s">
        <v>24</v>
      </c>
      <c r="T583" t="s">
        <v>316</v>
      </c>
    </row>
    <row r="584" spans="1:20" x14ac:dyDescent="0.25">
      <c r="A584">
        <v>83</v>
      </c>
      <c r="B584" t="str">
        <f>HYPERLINK("https://imapinvasives.natureserve.org/imap/services/page/Presence/512347.html", "View")</f>
        <v>View</v>
      </c>
      <c r="C584">
        <v>512347</v>
      </c>
      <c r="D584">
        <v>512347</v>
      </c>
      <c r="E584" t="str">
        <f>HYPERLINK("http://imap3images.s3-website-us-east-1.amazonaws.com/512347/p/photourl1_2017_06_23_caidolan_7ava6e7t.jpg", "View")</f>
        <v>View</v>
      </c>
      <c r="F584" t="s">
        <v>113</v>
      </c>
      <c r="G584" t="s">
        <v>167</v>
      </c>
      <c r="H584">
        <v>58727</v>
      </c>
      <c r="I584" t="str">
        <f t="shared" si="26"/>
        <v>View</v>
      </c>
      <c r="J584" t="s">
        <v>113</v>
      </c>
      <c r="K584" t="s">
        <v>114</v>
      </c>
      <c r="L584">
        <v>58727</v>
      </c>
      <c r="M584">
        <v>79.709999999999994</v>
      </c>
      <c r="N584">
        <v>97.88</v>
      </c>
      <c r="P584">
        <v>1</v>
      </c>
      <c r="R584" t="s">
        <v>23</v>
      </c>
      <c r="S584" t="s">
        <v>24</v>
      </c>
      <c r="T584" t="s">
        <v>316</v>
      </c>
    </row>
    <row r="585" spans="1:20" x14ac:dyDescent="0.25">
      <c r="A585">
        <v>84</v>
      </c>
      <c r="B585" t="str">
        <f>HYPERLINK("https://imapinvasives.natureserve.org/imap/services/page/Presence/1013159.html", "View")</f>
        <v>View</v>
      </c>
      <c r="C585">
        <v>1013159</v>
      </c>
      <c r="D585">
        <v>1013204</v>
      </c>
      <c r="E585" t="str">
        <f>HYPERLINK("http://imap3images.s3-website-us-east-1.amazonaws.com/1013204/p/imap_app_photo_1556234726821.jpg", "View")</f>
        <v>View</v>
      </c>
      <c r="F585" t="s">
        <v>113</v>
      </c>
      <c r="G585" t="s">
        <v>167</v>
      </c>
      <c r="H585">
        <v>58727</v>
      </c>
      <c r="I585" t="str">
        <f t="shared" si="26"/>
        <v>View</v>
      </c>
      <c r="J585" t="s">
        <v>113</v>
      </c>
      <c r="K585" t="s">
        <v>114</v>
      </c>
      <c r="L585">
        <v>58727</v>
      </c>
      <c r="M585">
        <v>50.76</v>
      </c>
      <c r="N585">
        <v>99.98</v>
      </c>
      <c r="P585">
        <v>1</v>
      </c>
      <c r="R585" t="s">
        <v>23</v>
      </c>
      <c r="S585" t="s">
        <v>24</v>
      </c>
      <c r="T585" t="s">
        <v>316</v>
      </c>
    </row>
    <row r="586" spans="1:20" x14ac:dyDescent="0.25">
      <c r="A586">
        <v>85</v>
      </c>
      <c r="B586" t="str">
        <f>HYPERLINK("https://imapinvasives.natureserve.org/imap/services/page/Presence/1048899.html", "View")</f>
        <v>View</v>
      </c>
      <c r="C586">
        <v>1048899</v>
      </c>
      <c r="D586">
        <v>1052917</v>
      </c>
      <c r="E586" t="str">
        <f>HYPERLINK("http://imap3images.s3-website-us-east-1.amazonaws.com/1052917/p/imap_app_photo_1591657288880.jpg", "View")</f>
        <v>View</v>
      </c>
      <c r="F586" t="s">
        <v>113</v>
      </c>
      <c r="G586" t="s">
        <v>167</v>
      </c>
      <c r="H586">
        <v>58727</v>
      </c>
      <c r="I586" t="str">
        <f t="shared" si="26"/>
        <v>View</v>
      </c>
      <c r="J586" t="s">
        <v>113</v>
      </c>
      <c r="K586" t="s">
        <v>114</v>
      </c>
      <c r="L586">
        <v>58727</v>
      </c>
      <c r="M586">
        <v>41.81</v>
      </c>
      <c r="N586">
        <v>92.32</v>
      </c>
      <c r="P586">
        <v>1</v>
      </c>
      <c r="R586" t="s">
        <v>23</v>
      </c>
      <c r="S586" t="s">
        <v>24</v>
      </c>
      <c r="T586" t="s">
        <v>316</v>
      </c>
    </row>
    <row r="587" spans="1:20" x14ac:dyDescent="0.25">
      <c r="A587">
        <v>86</v>
      </c>
      <c r="B587" t="str">
        <f>HYPERLINK("https://imapinvasives.natureserve.org/imap/services/page/Presence/1417173.html", "View")</f>
        <v>View</v>
      </c>
      <c r="C587">
        <v>1417173</v>
      </c>
      <c r="D587">
        <v>1430820</v>
      </c>
      <c r="E587" t="str">
        <f>HYPERLINK("http://imap3images.s3-website-us-east-1.amazonaws.com/1430820/p/imap_app_photo_1720577957194.jpg", "View")</f>
        <v>View</v>
      </c>
      <c r="F587" t="s">
        <v>113</v>
      </c>
      <c r="G587" t="s">
        <v>167</v>
      </c>
      <c r="H587">
        <v>58727</v>
      </c>
      <c r="I587" t="str">
        <f t="shared" si="26"/>
        <v>View</v>
      </c>
      <c r="J587" t="s">
        <v>113</v>
      </c>
      <c r="K587" t="s">
        <v>114</v>
      </c>
      <c r="L587">
        <v>58727</v>
      </c>
      <c r="M587">
        <v>64.72</v>
      </c>
      <c r="N587">
        <v>99.98</v>
      </c>
      <c r="P587">
        <v>1</v>
      </c>
      <c r="R587" t="s">
        <v>23</v>
      </c>
      <c r="S587" t="s">
        <v>24</v>
      </c>
      <c r="T587" t="s">
        <v>316</v>
      </c>
    </row>
    <row r="588" spans="1:20" x14ac:dyDescent="0.25">
      <c r="A588">
        <v>87</v>
      </c>
      <c r="B588" t="str">
        <f>HYPERLINK("https://imapinvasives.natureserve.org/imap/services/page/Presence/1049373.html", "View")</f>
        <v>View</v>
      </c>
      <c r="C588">
        <v>1049373</v>
      </c>
      <c r="D588">
        <v>1053392</v>
      </c>
      <c r="E588" t="str">
        <f>HYPERLINK("http://imap3images.s3-website-us-east-1.amazonaws.com/1053392/p/imap_app_photo_1591799705731.jpg", "View")</f>
        <v>View</v>
      </c>
      <c r="F588" t="s">
        <v>113</v>
      </c>
      <c r="G588" t="s">
        <v>167</v>
      </c>
      <c r="H588">
        <v>58727</v>
      </c>
      <c r="I588" t="str">
        <f t="shared" si="26"/>
        <v>View</v>
      </c>
      <c r="J588" t="s">
        <v>113</v>
      </c>
      <c r="K588" t="s">
        <v>114</v>
      </c>
      <c r="L588">
        <v>58727</v>
      </c>
      <c r="M588">
        <v>41.81</v>
      </c>
      <c r="N588">
        <v>82.1</v>
      </c>
      <c r="P588">
        <v>1</v>
      </c>
      <c r="R588" t="s">
        <v>23</v>
      </c>
      <c r="S588" t="s">
        <v>24</v>
      </c>
      <c r="T588" t="s">
        <v>316</v>
      </c>
    </row>
    <row r="589" spans="1:20" x14ac:dyDescent="0.25">
      <c r="A589">
        <v>88</v>
      </c>
      <c r="B589" t="str">
        <f>HYPERLINK("https://imapinvasives.natureserve.org/imap/services/page/Presence/1047520.html", "View")</f>
        <v>View</v>
      </c>
      <c r="C589">
        <v>1047520</v>
      </c>
      <c r="D589">
        <v>1051513</v>
      </c>
      <c r="E589" t="str">
        <f>HYPERLINK("http://imap3images.s3-website-us-east-1.amazonaws.com/1051513/p/imap_app_photo_1591044949892.jpg", "View")</f>
        <v>View</v>
      </c>
      <c r="F589" t="s">
        <v>113</v>
      </c>
      <c r="G589" t="s">
        <v>167</v>
      </c>
      <c r="H589">
        <v>58727</v>
      </c>
      <c r="I589" t="str">
        <f t="shared" si="26"/>
        <v>View</v>
      </c>
      <c r="J589" t="s">
        <v>113</v>
      </c>
      <c r="K589" t="s">
        <v>114</v>
      </c>
      <c r="L589">
        <v>58727</v>
      </c>
      <c r="M589">
        <v>41.81</v>
      </c>
      <c r="N589">
        <v>99.95</v>
      </c>
      <c r="P589">
        <v>1</v>
      </c>
      <c r="R589" t="s">
        <v>23</v>
      </c>
      <c r="S589" t="s">
        <v>24</v>
      </c>
      <c r="T589" t="s">
        <v>316</v>
      </c>
    </row>
    <row r="590" spans="1:20" x14ac:dyDescent="0.25">
      <c r="A590">
        <v>89</v>
      </c>
      <c r="B590" t="str">
        <f>HYPERLINK("https://imapinvasives.natureserve.org/imap/services/page/Presence/1055660.html", "View")</f>
        <v>View</v>
      </c>
      <c r="C590">
        <v>1055660</v>
      </c>
      <c r="D590">
        <v>1060024</v>
      </c>
      <c r="E590" t="str">
        <f>HYPERLINK("http://imap3images.s3-website-us-east-1.amazonaws.com/1060024/p/imap_app_photo_1594669468880.jpg", "View")</f>
        <v>View</v>
      </c>
      <c r="F590" t="s">
        <v>113</v>
      </c>
      <c r="G590" t="s">
        <v>167</v>
      </c>
      <c r="H590">
        <v>58727</v>
      </c>
      <c r="I590" t="str">
        <f t="shared" si="26"/>
        <v>View</v>
      </c>
      <c r="J590" t="s">
        <v>113</v>
      </c>
      <c r="K590" t="s">
        <v>114</v>
      </c>
      <c r="L590">
        <v>58727</v>
      </c>
      <c r="M590">
        <v>52.13</v>
      </c>
      <c r="N590">
        <v>75.38</v>
      </c>
      <c r="P590">
        <v>1</v>
      </c>
      <c r="R590" t="s">
        <v>23</v>
      </c>
      <c r="S590" t="s">
        <v>24</v>
      </c>
      <c r="T590" t="s">
        <v>316</v>
      </c>
    </row>
    <row r="591" spans="1:20" x14ac:dyDescent="0.25">
      <c r="A591">
        <v>90</v>
      </c>
      <c r="B591" t="str">
        <f>HYPERLINK("https://imapinvasives.natureserve.org/imap/services/page/Presence/1048866.html", "View")</f>
        <v>View</v>
      </c>
      <c r="C591">
        <v>1048866</v>
      </c>
      <c r="D591">
        <v>1052884</v>
      </c>
      <c r="E591" t="str">
        <f>HYPERLINK("http://imap3images.s3-website-us-east-1.amazonaws.com/1052884/p/imap_app_photo_1591656988801.jpg", "View")</f>
        <v>View</v>
      </c>
      <c r="F591" t="s">
        <v>113</v>
      </c>
      <c r="G591" t="s">
        <v>167</v>
      </c>
      <c r="H591">
        <v>58727</v>
      </c>
      <c r="I591" t="str">
        <f t="shared" si="26"/>
        <v>View</v>
      </c>
      <c r="J591" t="s">
        <v>113</v>
      </c>
      <c r="K591" t="s">
        <v>114</v>
      </c>
      <c r="L591">
        <v>58727</v>
      </c>
      <c r="M591">
        <v>41.81</v>
      </c>
      <c r="N591">
        <v>99.69</v>
      </c>
      <c r="P591">
        <v>1</v>
      </c>
      <c r="R591" t="s">
        <v>23</v>
      </c>
      <c r="S591" t="s">
        <v>24</v>
      </c>
      <c r="T591" t="s">
        <v>316</v>
      </c>
    </row>
    <row r="592" spans="1:20" x14ac:dyDescent="0.25">
      <c r="A592">
        <v>91</v>
      </c>
      <c r="B592" t="str">
        <f>HYPERLINK("https://imapinvasives.natureserve.org/imap/services/page/Presence/1283992.html", "View")</f>
        <v>View</v>
      </c>
      <c r="C592">
        <v>1283992</v>
      </c>
      <c r="D592">
        <v>1293563</v>
      </c>
      <c r="E592" t="str">
        <f>HYPERLINK("http://imap3images.s3-website-us-east-1.amazonaws.com/1293563/p/imap_app_photo_1658881365785.jpg", "View")</f>
        <v>View</v>
      </c>
      <c r="F592" t="s">
        <v>113</v>
      </c>
      <c r="G592" t="s">
        <v>167</v>
      </c>
      <c r="H592">
        <v>58727</v>
      </c>
      <c r="I592" t="str">
        <f t="shared" si="26"/>
        <v>View</v>
      </c>
      <c r="J592" t="s">
        <v>113</v>
      </c>
      <c r="K592" t="s">
        <v>114</v>
      </c>
      <c r="L592">
        <v>58727</v>
      </c>
      <c r="M592">
        <v>25.76</v>
      </c>
      <c r="N592">
        <v>99.11</v>
      </c>
      <c r="P592">
        <v>1</v>
      </c>
      <c r="R592" t="s">
        <v>23</v>
      </c>
      <c r="S592" t="s">
        <v>24</v>
      </c>
      <c r="T592" t="s">
        <v>316</v>
      </c>
    </row>
    <row r="593" spans="1:20" x14ac:dyDescent="0.25">
      <c r="A593">
        <v>92</v>
      </c>
      <c r="B593" t="str">
        <f>HYPERLINK("https://imapinvasives.natureserve.org/imap/services/page/Presence/1417226.html", "View")</f>
        <v>View</v>
      </c>
      <c r="C593">
        <v>1417226</v>
      </c>
      <c r="D593">
        <v>1430873</v>
      </c>
      <c r="E593" t="str">
        <f>HYPERLINK("http://imap3images.s3-website-us-east-1.amazonaws.com/1430873/p/imap_app_photo_1720612601231.jpg", "View")</f>
        <v>View</v>
      </c>
      <c r="F593" t="s">
        <v>113</v>
      </c>
      <c r="G593" t="s">
        <v>167</v>
      </c>
      <c r="H593">
        <v>58727</v>
      </c>
      <c r="I593" t="str">
        <f t="shared" si="26"/>
        <v>View</v>
      </c>
      <c r="J593" t="s">
        <v>113</v>
      </c>
      <c r="K593" t="s">
        <v>114</v>
      </c>
      <c r="L593">
        <v>58727</v>
      </c>
      <c r="M593">
        <v>52.13</v>
      </c>
      <c r="N593">
        <v>99.87</v>
      </c>
      <c r="P593">
        <v>1</v>
      </c>
      <c r="R593" t="s">
        <v>23</v>
      </c>
      <c r="S593" t="s">
        <v>24</v>
      </c>
      <c r="T593" t="s">
        <v>316</v>
      </c>
    </row>
    <row r="594" spans="1:20" x14ac:dyDescent="0.25">
      <c r="A594">
        <v>93</v>
      </c>
      <c r="B594" t="str">
        <f>HYPERLINK("https://imapinvasives.natureserve.org/imap/services/page/Presence/1409377.html", "View")</f>
        <v>View</v>
      </c>
      <c r="C594">
        <v>1409377</v>
      </c>
      <c r="D594">
        <v>1421780</v>
      </c>
      <c r="E594" t="str">
        <f>HYPERLINK("http://imap3images.s3-website-us-east-1.amazonaws.com/1421780/p/imap_app_photo_1717009067668.jpg", "View")</f>
        <v>View</v>
      </c>
      <c r="F594" t="s">
        <v>113</v>
      </c>
      <c r="G594" t="s">
        <v>167</v>
      </c>
      <c r="H594">
        <v>58727</v>
      </c>
      <c r="I594" t="str">
        <f t="shared" si="26"/>
        <v>View</v>
      </c>
      <c r="J594" t="s">
        <v>113</v>
      </c>
      <c r="K594" t="s">
        <v>114</v>
      </c>
      <c r="L594">
        <v>58727</v>
      </c>
      <c r="M594">
        <v>73.95</v>
      </c>
      <c r="N594">
        <v>96.56</v>
      </c>
      <c r="P594">
        <v>1</v>
      </c>
      <c r="R594" t="s">
        <v>23</v>
      </c>
      <c r="S594" t="s">
        <v>24</v>
      </c>
      <c r="T594" t="s">
        <v>316</v>
      </c>
    </row>
    <row r="595" spans="1:20" x14ac:dyDescent="0.25">
      <c r="A595">
        <v>94</v>
      </c>
      <c r="B595" t="str">
        <f>HYPERLINK("https://imapinvasives.natureserve.org/imap/services/page/Presence/1343965.html", "View")</f>
        <v>View</v>
      </c>
      <c r="C595">
        <v>1343965</v>
      </c>
      <c r="D595">
        <v>1359595</v>
      </c>
      <c r="E595" t="str">
        <f>HYPERLINK("http://imap3images.s3-website-us-east-1.amazonaws.com/1359595/p/Photo_1.jpg", "View")</f>
        <v>View</v>
      </c>
      <c r="F595" t="s">
        <v>113</v>
      </c>
      <c r="G595" t="s">
        <v>167</v>
      </c>
      <c r="H595">
        <v>58727</v>
      </c>
      <c r="I595" t="str">
        <f t="shared" si="26"/>
        <v>View</v>
      </c>
      <c r="J595" t="s">
        <v>113</v>
      </c>
      <c r="K595" t="s">
        <v>114</v>
      </c>
      <c r="L595">
        <v>58727</v>
      </c>
      <c r="M595">
        <v>26.29</v>
      </c>
      <c r="N595">
        <v>96.04</v>
      </c>
      <c r="P595">
        <v>1</v>
      </c>
      <c r="R595" t="s">
        <v>23</v>
      </c>
      <c r="S595" t="s">
        <v>24</v>
      </c>
      <c r="T595" t="s">
        <v>316</v>
      </c>
    </row>
    <row r="596" spans="1:20" x14ac:dyDescent="0.25">
      <c r="A596">
        <v>95</v>
      </c>
      <c r="B596" t="str">
        <f>HYPERLINK("https://imapinvasives.natureserve.org/imap/services/page/Presence/524435.html", "View")</f>
        <v>View</v>
      </c>
      <c r="C596">
        <v>524435</v>
      </c>
      <c r="D596">
        <v>524435</v>
      </c>
      <c r="E596" t="str">
        <f>HYPERLINK("http://imap3images.s3-website-us-east-1.amazonaws.com/524435/p/photourl1_2018_01_27_spebarrett_yufit3mf.jpg", "View")</f>
        <v>View</v>
      </c>
      <c r="F596" t="s">
        <v>113</v>
      </c>
      <c r="G596" t="s">
        <v>167</v>
      </c>
      <c r="H596">
        <v>58727</v>
      </c>
      <c r="I596" t="str">
        <f>HYPERLINK("https://www.inaturalist.org/taxa/117433-Euonymus-alatus", "View")</f>
        <v>View</v>
      </c>
      <c r="J596" t="s">
        <v>187</v>
      </c>
      <c r="K596" t="s">
        <v>188</v>
      </c>
      <c r="L596">
        <v>117433</v>
      </c>
      <c r="M596">
        <v>26.94</v>
      </c>
      <c r="N596">
        <v>45.38</v>
      </c>
      <c r="P596">
        <v>0</v>
      </c>
      <c r="R596" t="s">
        <v>40</v>
      </c>
      <c r="S596" t="s">
        <v>64</v>
      </c>
      <c r="T596" t="s">
        <v>317</v>
      </c>
    </row>
    <row r="597" spans="1:20" x14ac:dyDescent="0.25">
      <c r="A597">
        <v>96</v>
      </c>
      <c r="B597" t="str">
        <f>HYPERLINK("https://imapinvasives.natureserve.org/imap/services/page/Presence/1140058.html", "View")</f>
        <v>View</v>
      </c>
      <c r="C597">
        <v>1140058</v>
      </c>
      <c r="D597">
        <v>1146572</v>
      </c>
      <c r="E597" t="str">
        <f>HYPERLINK("http://imap3images.s3-website-us-east-1.amazonaws.com/1146572/p/imap_app_photo_1622737247009.jpg", "View")</f>
        <v>View</v>
      </c>
      <c r="F597" t="s">
        <v>113</v>
      </c>
      <c r="G597" t="s">
        <v>167</v>
      </c>
      <c r="H597">
        <v>58727</v>
      </c>
      <c r="I597" t="str">
        <f>HYPERLINK("https://www.inaturalist.org/taxa/58727-Berberis-thunbergii", "View")</f>
        <v>View</v>
      </c>
      <c r="J597" t="s">
        <v>113</v>
      </c>
      <c r="K597" t="s">
        <v>114</v>
      </c>
      <c r="L597">
        <v>58727</v>
      </c>
      <c r="M597">
        <v>50.22</v>
      </c>
      <c r="N597">
        <v>99.86</v>
      </c>
      <c r="P597">
        <v>1</v>
      </c>
      <c r="R597" t="s">
        <v>23</v>
      </c>
      <c r="S597" t="s">
        <v>24</v>
      </c>
      <c r="T597" t="s">
        <v>316</v>
      </c>
    </row>
    <row r="598" spans="1:20" x14ac:dyDescent="0.25">
      <c r="A598">
        <v>97</v>
      </c>
      <c r="B598" t="str">
        <f>HYPERLINK("https://imapinvasives.natureserve.org/imap/services/page/Presence/1334273.html", "View")</f>
        <v>View</v>
      </c>
      <c r="C598">
        <v>1334273</v>
      </c>
      <c r="D598">
        <v>1348362</v>
      </c>
      <c r="E598" t="str">
        <f>HYPERLINK("http://imap3images.s3-website-us-east-1.amazonaws.com/1348362/p/imap_app_photo_1685990500472.jpg", "View")</f>
        <v>View</v>
      </c>
      <c r="F598" t="s">
        <v>113</v>
      </c>
      <c r="G598" t="s">
        <v>167</v>
      </c>
      <c r="H598">
        <v>58727</v>
      </c>
      <c r="I598" t="str">
        <f>HYPERLINK("https://www.inaturalist.org/taxa/58727-Berberis-thunbergii", "View")</f>
        <v>View</v>
      </c>
      <c r="J598" t="s">
        <v>113</v>
      </c>
      <c r="K598" t="s">
        <v>114</v>
      </c>
      <c r="L598">
        <v>58727</v>
      </c>
      <c r="M598">
        <v>29.04</v>
      </c>
      <c r="N598">
        <v>76.44</v>
      </c>
      <c r="P598">
        <v>1</v>
      </c>
      <c r="R598" t="s">
        <v>23</v>
      </c>
      <c r="S598" t="s">
        <v>24</v>
      </c>
      <c r="T598" t="s">
        <v>316</v>
      </c>
    </row>
    <row r="599" spans="1:20" x14ac:dyDescent="0.25">
      <c r="A599">
        <v>98</v>
      </c>
      <c r="B599" t="str">
        <f>HYPERLINK("https://imapinvasives.natureserve.org/imap/services/page/Presence/419775.html", "View")</f>
        <v>View</v>
      </c>
      <c r="C599">
        <v>419775</v>
      </c>
      <c r="D599">
        <v>419775</v>
      </c>
      <c r="E599" t="str">
        <f>HYPERLINK("http://imap3images.s3-website-us-east-1.amazonaws.com/419775/p/photourl1_2014_09_08_angklinczar_d607yf14.jpg", "View")</f>
        <v>View</v>
      </c>
      <c r="F599" t="s">
        <v>113</v>
      </c>
      <c r="G599" t="s">
        <v>167</v>
      </c>
      <c r="H599">
        <v>58727</v>
      </c>
      <c r="I599" t="str">
        <f>HYPERLINK("https://www.inaturalist.org/taxa/497911-Polygaloides-paucifolia", "View")</f>
        <v>View</v>
      </c>
      <c r="J599" t="s">
        <v>189</v>
      </c>
      <c r="K599" t="s">
        <v>190</v>
      </c>
      <c r="L599">
        <v>497911</v>
      </c>
      <c r="M599">
        <v>11.47</v>
      </c>
      <c r="N599">
        <v>75.599999999999994</v>
      </c>
      <c r="P599">
        <v>0</v>
      </c>
      <c r="R599" t="s">
        <v>40</v>
      </c>
      <c r="S599" t="s">
        <v>34</v>
      </c>
      <c r="T599" t="s">
        <v>317</v>
      </c>
    </row>
    <row r="600" spans="1:20" x14ac:dyDescent="0.25">
      <c r="A600">
        <v>99</v>
      </c>
      <c r="B600" t="str">
        <f>HYPERLINK("https://imapinvasives.natureserve.org/imap/services/page/Presence/1269860.html", "View")</f>
        <v>View</v>
      </c>
      <c r="C600">
        <v>1269860</v>
      </c>
      <c r="D600">
        <v>1278791</v>
      </c>
      <c r="E600" t="str">
        <f>HYPERLINK("http://imap3images.s3-website-us-east-1.amazonaws.com/1278791/p/imap_app_photo_1650142216869.jpg", "View")</f>
        <v>View</v>
      </c>
      <c r="F600" t="s">
        <v>113</v>
      </c>
      <c r="G600" t="s">
        <v>167</v>
      </c>
      <c r="H600">
        <v>58727</v>
      </c>
      <c r="I600" t="str">
        <f>HYPERLINK("https://www.inaturalist.org/taxa/58727-Berberis-thunbergii", "View")</f>
        <v>View</v>
      </c>
      <c r="J600" t="s">
        <v>113</v>
      </c>
      <c r="K600" t="s">
        <v>114</v>
      </c>
      <c r="L600">
        <v>58727</v>
      </c>
      <c r="M600">
        <v>74.14</v>
      </c>
      <c r="N600">
        <v>97.17</v>
      </c>
      <c r="P600">
        <v>1</v>
      </c>
      <c r="R600" t="s">
        <v>23</v>
      </c>
      <c r="S600" t="s">
        <v>24</v>
      </c>
      <c r="T600" t="s">
        <v>316</v>
      </c>
    </row>
    <row r="601" spans="1:20" x14ac:dyDescent="0.25">
      <c r="A601">
        <v>100</v>
      </c>
      <c r="B601" t="str">
        <f>HYPERLINK("https://imapinvasives.natureserve.org/imap/services/page/Presence/1062159.html", "View")</f>
        <v>View</v>
      </c>
      <c r="C601">
        <v>1062159</v>
      </c>
      <c r="D601">
        <v>1066765</v>
      </c>
      <c r="E601" t="str">
        <f>HYPERLINK("http://imap3images.s3-website-us-east-1.amazonaws.com/1066765/p/imap_app_photo_1596820900726.jpg", "View")</f>
        <v>View</v>
      </c>
      <c r="F601" t="s">
        <v>113</v>
      </c>
      <c r="G601" t="s">
        <v>167</v>
      </c>
      <c r="H601">
        <v>58727</v>
      </c>
      <c r="I601" t="str">
        <f>HYPERLINK("https://www.inaturalist.org/taxa/58727-Berberis-thunbergii", "View")</f>
        <v>View</v>
      </c>
      <c r="J601" t="s">
        <v>113</v>
      </c>
      <c r="K601" t="s">
        <v>114</v>
      </c>
      <c r="L601">
        <v>58727</v>
      </c>
      <c r="M601">
        <v>27.77</v>
      </c>
      <c r="N601">
        <v>99.11</v>
      </c>
      <c r="P601">
        <v>1</v>
      </c>
      <c r="R601" t="s">
        <v>23</v>
      </c>
      <c r="S601" t="s">
        <v>24</v>
      </c>
      <c r="T601" t="s">
        <v>316</v>
      </c>
    </row>
    <row r="602" spans="1:20" x14ac:dyDescent="0.25">
      <c r="A602">
        <v>1</v>
      </c>
      <c r="B602" t="str">
        <f>HYPERLINK("https://imapinvasives.natureserve.org/imap/services/page/Presence/418849.html", "View")</f>
        <v>View</v>
      </c>
      <c r="C602">
        <v>418849</v>
      </c>
      <c r="D602">
        <v>418849</v>
      </c>
      <c r="E602" t="str">
        <f>HYPERLINK("http://imap3images.s3-website-us-east-1.amazonaws.com/418849/p/photourl1_2014_08_07_andstadler_k4jif1jj.jpg", "View")</f>
        <v>View</v>
      </c>
      <c r="F602" t="s">
        <v>191</v>
      </c>
      <c r="G602" t="s">
        <v>192</v>
      </c>
      <c r="H602">
        <v>78882</v>
      </c>
      <c r="I602" t="str">
        <f>HYPERLINK("https://www.inaturalist.org/taxa/78882-Rosa-multiflora", "View")</f>
        <v>View</v>
      </c>
      <c r="J602" t="s">
        <v>191</v>
      </c>
      <c r="K602" t="s">
        <v>193</v>
      </c>
      <c r="L602">
        <v>78882</v>
      </c>
      <c r="M602">
        <v>48.64</v>
      </c>
      <c r="N602">
        <v>92.45</v>
      </c>
      <c r="P602">
        <v>1</v>
      </c>
      <c r="R602" t="s">
        <v>23</v>
      </c>
      <c r="S602" t="s">
        <v>24</v>
      </c>
      <c r="T602" t="s">
        <v>316</v>
      </c>
    </row>
    <row r="603" spans="1:20" x14ac:dyDescent="0.25">
      <c r="A603">
        <v>2</v>
      </c>
      <c r="B603" t="str">
        <f>HYPERLINK("https://imapinvasives.natureserve.org/imap/services/page/Presence/417571.html", "View")</f>
        <v>View</v>
      </c>
      <c r="C603">
        <v>417571</v>
      </c>
      <c r="D603">
        <v>417571</v>
      </c>
      <c r="E603" t="str">
        <f>HYPERLINK("http://imap3images.s3-website-us-east-1.amazonaws.com/417571/p/photourl1_2014_07_17_angklinczar_glu0kven.jpg", "View")</f>
        <v>View</v>
      </c>
      <c r="F603" t="s">
        <v>191</v>
      </c>
      <c r="G603" t="s">
        <v>192</v>
      </c>
      <c r="H603">
        <v>78882</v>
      </c>
      <c r="I603" t="str">
        <f>HYPERLINK("https://www.inaturalist.org/taxa/543242-Rubus-fraxinifolius", "View")</f>
        <v>View</v>
      </c>
      <c r="J603" t="s">
        <v>194</v>
      </c>
      <c r="K603" t="s">
        <v>94</v>
      </c>
      <c r="L603">
        <v>543242</v>
      </c>
      <c r="M603">
        <v>0</v>
      </c>
      <c r="N603">
        <v>6.81</v>
      </c>
      <c r="P603">
        <v>0</v>
      </c>
      <c r="R603" t="s">
        <v>29</v>
      </c>
      <c r="S603" t="s">
        <v>34</v>
      </c>
      <c r="T603" t="s">
        <v>317</v>
      </c>
    </row>
    <row r="604" spans="1:20" x14ac:dyDescent="0.25">
      <c r="A604">
        <v>3</v>
      </c>
      <c r="B604" t="str">
        <f>HYPERLINK("https://imapinvasives.natureserve.org/imap/services/page/Presence/1050090.html", "View")</f>
        <v>View</v>
      </c>
      <c r="C604">
        <v>1050090</v>
      </c>
      <c r="D604">
        <v>1054123</v>
      </c>
      <c r="E604" t="str">
        <f>HYPERLINK("http://imap3images.s3-website-us-east-1.amazonaws.com/1054123/p/imap_app_photo_1592180902392.jpg", "View")</f>
        <v>View</v>
      </c>
      <c r="F604" t="s">
        <v>191</v>
      </c>
      <c r="G604" t="s">
        <v>192</v>
      </c>
      <c r="H604">
        <v>78882</v>
      </c>
      <c r="I604" t="str">
        <f>HYPERLINK("https://www.inaturalist.org/taxa/78882-Rosa-multiflora", "View")</f>
        <v>View</v>
      </c>
      <c r="J604" t="s">
        <v>191</v>
      </c>
      <c r="K604" t="s">
        <v>193</v>
      </c>
      <c r="L604">
        <v>78882</v>
      </c>
      <c r="M604">
        <v>44.96</v>
      </c>
      <c r="N604">
        <v>97.99</v>
      </c>
      <c r="P604">
        <v>1</v>
      </c>
      <c r="R604" t="s">
        <v>23</v>
      </c>
      <c r="S604" t="s">
        <v>24</v>
      </c>
      <c r="T604" t="s">
        <v>316</v>
      </c>
    </row>
    <row r="605" spans="1:20" x14ac:dyDescent="0.25">
      <c r="A605">
        <v>4</v>
      </c>
      <c r="B605" t="str">
        <f>HYPERLINK("https://imapinvasives.natureserve.org/imap/services/page/Presence/1068727.html", "View")</f>
        <v>View</v>
      </c>
      <c r="C605">
        <v>1068727</v>
      </c>
      <c r="D605">
        <v>1073561</v>
      </c>
      <c r="E605" t="str">
        <f>HYPERLINK("http://imap3images.s3-website-us-east-1.amazonaws.com/1073561/p/imap_app_photo_1599830595766.jpg", "View")</f>
        <v>View</v>
      </c>
      <c r="F605" t="s">
        <v>191</v>
      </c>
      <c r="G605" t="s">
        <v>192</v>
      </c>
      <c r="H605">
        <v>78882</v>
      </c>
      <c r="I605" t="str">
        <f>HYPERLINK("https://www.inaturalist.org/taxa/129196-Rosa-carolina", "View")</f>
        <v>View</v>
      </c>
      <c r="J605" t="s">
        <v>195</v>
      </c>
      <c r="K605" t="s">
        <v>196</v>
      </c>
      <c r="L605">
        <v>129196</v>
      </c>
      <c r="M605">
        <v>1.98</v>
      </c>
      <c r="N605">
        <v>18.579999999999998</v>
      </c>
      <c r="P605">
        <v>0</v>
      </c>
      <c r="R605" t="s">
        <v>29</v>
      </c>
      <c r="S605" t="s">
        <v>24</v>
      </c>
      <c r="T605" t="s">
        <v>316</v>
      </c>
    </row>
    <row r="606" spans="1:20" x14ac:dyDescent="0.25">
      <c r="A606">
        <v>5</v>
      </c>
      <c r="B606" t="str">
        <f>HYPERLINK("https://imapinvasives.natureserve.org/imap/services/page/Presence/421526.html", "View")</f>
        <v>View</v>
      </c>
      <c r="C606">
        <v>421526</v>
      </c>
      <c r="D606">
        <v>421526</v>
      </c>
      <c r="E606" t="str">
        <f>HYPERLINK("http://imap3images.s3-website-us-east-1.amazonaws.com/421526/p/photourl2_2014_10_20_jonpodoliak_5komg21m.jpg", "View")</f>
        <v>View</v>
      </c>
      <c r="F606" t="s">
        <v>191</v>
      </c>
      <c r="G606" t="s">
        <v>192</v>
      </c>
      <c r="H606">
        <v>78882</v>
      </c>
      <c r="I606" t="str">
        <f>HYPERLINK("https://www.inaturalist.org/taxa/78882-Rosa-multiflora", "View")</f>
        <v>View</v>
      </c>
      <c r="J606" t="s">
        <v>191</v>
      </c>
      <c r="K606" t="s">
        <v>193</v>
      </c>
      <c r="L606">
        <v>78882</v>
      </c>
      <c r="M606">
        <v>46.96</v>
      </c>
      <c r="N606">
        <v>33.24</v>
      </c>
      <c r="P606">
        <v>1</v>
      </c>
      <c r="R606" t="s">
        <v>23</v>
      </c>
      <c r="S606" t="s">
        <v>64</v>
      </c>
      <c r="T606" t="s">
        <v>317</v>
      </c>
    </row>
    <row r="607" spans="1:20" x14ac:dyDescent="0.25">
      <c r="A607">
        <v>6</v>
      </c>
      <c r="B607" t="str">
        <f>HYPERLINK("https://imapinvasives.natureserve.org/imap/services/page/Presence/492439.html", "View")</f>
        <v>View</v>
      </c>
      <c r="C607">
        <v>492439</v>
      </c>
      <c r="D607">
        <v>492439</v>
      </c>
      <c r="E607" t="str">
        <f>HYPERLINK("http://imap3images.s3-website-us-east-1.amazonaws.com/492439/p/photourl1_2016_06_28_julgrinstead_10caj6p9.jpg", "View")</f>
        <v>View</v>
      </c>
      <c r="F607" t="s">
        <v>191</v>
      </c>
      <c r="G607" t="s">
        <v>192</v>
      </c>
      <c r="H607">
        <v>78882</v>
      </c>
      <c r="I607" t="str">
        <f>HYPERLINK("https://www.inaturalist.org/taxa/78882-Rosa-multiflora", "View")</f>
        <v>View</v>
      </c>
      <c r="J607" t="s">
        <v>191</v>
      </c>
      <c r="K607" t="s">
        <v>193</v>
      </c>
      <c r="L607">
        <v>78882</v>
      </c>
      <c r="M607">
        <v>41.85</v>
      </c>
      <c r="N607">
        <v>92.74</v>
      </c>
      <c r="P607">
        <v>1</v>
      </c>
      <c r="R607" t="s">
        <v>23</v>
      </c>
      <c r="S607" t="s">
        <v>24</v>
      </c>
      <c r="T607" t="s">
        <v>316</v>
      </c>
    </row>
    <row r="608" spans="1:20" x14ac:dyDescent="0.25">
      <c r="A608">
        <v>7</v>
      </c>
      <c r="B608" t="str">
        <f>HYPERLINK("https://imapinvasives.natureserve.org/imap/services/page/Presence/1016261.html", "View")</f>
        <v>View</v>
      </c>
      <c r="C608">
        <v>1016261</v>
      </c>
      <c r="D608">
        <v>1016702</v>
      </c>
      <c r="E608" t="str">
        <f>HYPERLINK("http://imap3images.s3-website-us-east-1.amazonaws.com/1016702/p/imap_app_photo_1560043802162.jpg", "View")</f>
        <v>View</v>
      </c>
      <c r="F608" t="s">
        <v>191</v>
      </c>
      <c r="G608" t="s">
        <v>192</v>
      </c>
      <c r="H608">
        <v>78882</v>
      </c>
      <c r="I608" t="str">
        <f>HYPERLINK("https://www.inaturalist.org/taxa/78882-Rosa-multiflora", "View")</f>
        <v>View</v>
      </c>
      <c r="J608" t="s">
        <v>191</v>
      </c>
      <c r="K608" t="s">
        <v>193</v>
      </c>
      <c r="L608">
        <v>78882</v>
      </c>
      <c r="M608">
        <v>22.2</v>
      </c>
      <c r="N608">
        <v>91</v>
      </c>
      <c r="P608">
        <v>1</v>
      </c>
      <c r="R608" t="s">
        <v>23</v>
      </c>
      <c r="S608" t="s">
        <v>24</v>
      </c>
      <c r="T608" t="s">
        <v>316</v>
      </c>
    </row>
    <row r="609" spans="1:20" x14ac:dyDescent="0.25">
      <c r="A609">
        <v>8</v>
      </c>
      <c r="B609" t="str">
        <f>HYPERLINK("https://imapinvasives.natureserve.org/imap/services/page/Presence/1025175.html", "View")</f>
        <v>View</v>
      </c>
      <c r="C609">
        <v>1025175</v>
      </c>
      <c r="D609">
        <v>1025931</v>
      </c>
      <c r="E609" t="str">
        <f>HYPERLINK("http://imap3images.s3-website-us-east-1.amazonaws.com/1025931/p/Photo3-20180921-150720.jpg", "View")</f>
        <v>View</v>
      </c>
      <c r="F609" t="s">
        <v>191</v>
      </c>
      <c r="G609" t="s">
        <v>192</v>
      </c>
      <c r="H609">
        <v>78882</v>
      </c>
      <c r="I609" t="str">
        <f>HYPERLINK("https://www.inaturalist.org/taxa/81897-Baptisia-tinctoria", "View")</f>
        <v>View</v>
      </c>
      <c r="J609" t="s">
        <v>197</v>
      </c>
      <c r="K609" t="s">
        <v>198</v>
      </c>
      <c r="L609">
        <v>81897</v>
      </c>
      <c r="M609">
        <v>20.56</v>
      </c>
      <c r="N609">
        <v>9.5299999999999994</v>
      </c>
      <c r="P609">
        <v>0</v>
      </c>
      <c r="R609" t="s">
        <v>40</v>
      </c>
      <c r="S609" t="s">
        <v>34</v>
      </c>
      <c r="T609" t="s">
        <v>317</v>
      </c>
    </row>
    <row r="610" spans="1:20" x14ac:dyDescent="0.25">
      <c r="A610">
        <v>9</v>
      </c>
      <c r="B610" t="str">
        <f>HYPERLINK("https://imapinvasives.natureserve.org/imap/services/page/Presence/1014973.html", "View")</f>
        <v>View</v>
      </c>
      <c r="C610">
        <v>1014973</v>
      </c>
      <c r="D610">
        <v>1015298</v>
      </c>
      <c r="E610" t="str">
        <f>HYPERLINK("http://imap3images.s3-website-us-east-1.amazonaws.com/1015298/p/imap_app_photo_1559187550893.jpg", "View")</f>
        <v>View</v>
      </c>
      <c r="F610" t="s">
        <v>191</v>
      </c>
      <c r="G610" t="s">
        <v>192</v>
      </c>
      <c r="H610">
        <v>78882</v>
      </c>
      <c r="I610" t="str">
        <f t="shared" ref="I610:I628" si="27">HYPERLINK("https://www.inaturalist.org/taxa/78882-Rosa-multiflora", "View")</f>
        <v>View</v>
      </c>
      <c r="J610" t="s">
        <v>191</v>
      </c>
      <c r="K610" t="s">
        <v>193</v>
      </c>
      <c r="L610">
        <v>78882</v>
      </c>
      <c r="M610">
        <v>13.71</v>
      </c>
      <c r="N610">
        <v>55.38</v>
      </c>
      <c r="P610">
        <v>1</v>
      </c>
      <c r="R610" t="s">
        <v>23</v>
      </c>
      <c r="S610" t="s">
        <v>24</v>
      </c>
      <c r="T610" t="s">
        <v>316</v>
      </c>
    </row>
    <row r="611" spans="1:20" x14ac:dyDescent="0.25">
      <c r="A611">
        <v>10</v>
      </c>
      <c r="B611" t="str">
        <f>HYPERLINK("https://imapinvasives.natureserve.org/imap/services/page/Presence/491882.html", "View")</f>
        <v>View</v>
      </c>
      <c r="C611">
        <v>491882</v>
      </c>
      <c r="D611">
        <v>491882</v>
      </c>
      <c r="E611" t="str">
        <f>HYPERLINK("http://imap3images.s3-website-us-east-1.amazonaws.com/491882/p/photourl1_2016_06_16_douashby_eu4cz3s7.jpg", "View")</f>
        <v>View</v>
      </c>
      <c r="F611" t="s">
        <v>191</v>
      </c>
      <c r="G611" t="s">
        <v>192</v>
      </c>
      <c r="H611">
        <v>78882</v>
      </c>
      <c r="I611" t="str">
        <f t="shared" si="27"/>
        <v>View</v>
      </c>
      <c r="J611" t="s">
        <v>191</v>
      </c>
      <c r="K611" t="s">
        <v>193</v>
      </c>
      <c r="L611">
        <v>78882</v>
      </c>
      <c r="M611">
        <v>44.01</v>
      </c>
      <c r="N611">
        <v>99.88</v>
      </c>
      <c r="P611">
        <v>1</v>
      </c>
      <c r="R611" t="s">
        <v>23</v>
      </c>
      <c r="S611" t="s">
        <v>24</v>
      </c>
      <c r="T611" t="s">
        <v>316</v>
      </c>
    </row>
    <row r="612" spans="1:20" x14ac:dyDescent="0.25">
      <c r="A612">
        <v>11</v>
      </c>
      <c r="B612" t="str">
        <f>HYPERLINK("https://imapinvasives.natureserve.org/imap/services/page/Presence/496696.html", "View")</f>
        <v>View</v>
      </c>
      <c r="C612">
        <v>496696</v>
      </c>
      <c r="D612">
        <v>496696</v>
      </c>
      <c r="E612" t="str">
        <f>HYPERLINK("http://imap3images.s3-website-us-east-1.amazonaws.com/496696/p/photourl1_2016_10_21_julgrinstead_frxg2nn1.jpg", "View")</f>
        <v>View</v>
      </c>
      <c r="F612" t="s">
        <v>191</v>
      </c>
      <c r="G612" t="s">
        <v>192</v>
      </c>
      <c r="H612">
        <v>78882</v>
      </c>
      <c r="I612" t="str">
        <f t="shared" si="27"/>
        <v>View</v>
      </c>
      <c r="J612" t="s">
        <v>191</v>
      </c>
      <c r="K612" t="s">
        <v>193</v>
      </c>
      <c r="L612">
        <v>78882</v>
      </c>
      <c r="M612">
        <v>41.85</v>
      </c>
      <c r="N612">
        <v>34.28</v>
      </c>
      <c r="P612">
        <v>1</v>
      </c>
      <c r="R612" t="s">
        <v>23</v>
      </c>
      <c r="S612" t="s">
        <v>24</v>
      </c>
      <c r="T612" t="s">
        <v>316</v>
      </c>
    </row>
    <row r="613" spans="1:20" x14ac:dyDescent="0.25">
      <c r="A613">
        <v>12</v>
      </c>
      <c r="B613" t="str">
        <f>HYPERLINK("https://imapinvasives.natureserve.org/imap/services/page/Presence/523705.html", "View")</f>
        <v>View</v>
      </c>
      <c r="C613">
        <v>523705</v>
      </c>
      <c r="D613">
        <v>523705</v>
      </c>
      <c r="E613" t="str">
        <f>HYPERLINK("http://imap3images.s3-website-us-east-1.amazonaws.com/523705/p/photourl1_2017_11_18_rogosorio_swhxkiqg.jpg", "View")</f>
        <v>View</v>
      </c>
      <c r="F613" t="s">
        <v>191</v>
      </c>
      <c r="G613" t="s">
        <v>192</v>
      </c>
      <c r="H613">
        <v>78882</v>
      </c>
      <c r="I613" t="str">
        <f t="shared" si="27"/>
        <v>View</v>
      </c>
      <c r="J613" t="s">
        <v>191</v>
      </c>
      <c r="K613" t="s">
        <v>193</v>
      </c>
      <c r="L613">
        <v>78882</v>
      </c>
      <c r="M613">
        <v>91.59</v>
      </c>
      <c r="N613">
        <v>43.09</v>
      </c>
      <c r="P613">
        <v>1</v>
      </c>
      <c r="R613" t="s">
        <v>23</v>
      </c>
      <c r="S613" t="s">
        <v>64</v>
      </c>
      <c r="T613" t="s">
        <v>317</v>
      </c>
    </row>
    <row r="614" spans="1:20" x14ac:dyDescent="0.25">
      <c r="A614">
        <v>13</v>
      </c>
      <c r="B614" t="str">
        <f>HYPERLINK("https://imapinvasives.natureserve.org/imap/services/page/Presence/493963.html", "View")</f>
        <v>View</v>
      </c>
      <c r="C614">
        <v>493963</v>
      </c>
      <c r="D614">
        <v>493963</v>
      </c>
      <c r="E614" t="str">
        <f>HYPERLINK("http://imap3images.s3-website-us-east-1.amazonaws.com/493963/p/photourl1_2016_07_28_iansansone_i9qo6e0v.jpg", "View")</f>
        <v>View</v>
      </c>
      <c r="F614" t="s">
        <v>191</v>
      </c>
      <c r="G614" t="s">
        <v>192</v>
      </c>
      <c r="H614">
        <v>78882</v>
      </c>
      <c r="I614" t="str">
        <f t="shared" si="27"/>
        <v>View</v>
      </c>
      <c r="J614" t="s">
        <v>191</v>
      </c>
      <c r="K614" t="s">
        <v>193</v>
      </c>
      <c r="L614">
        <v>78882</v>
      </c>
      <c r="M614">
        <v>21.68</v>
      </c>
      <c r="N614">
        <v>95.71</v>
      </c>
      <c r="P614">
        <v>1</v>
      </c>
      <c r="R614" t="s">
        <v>23</v>
      </c>
      <c r="S614" t="s">
        <v>24</v>
      </c>
      <c r="T614" t="s">
        <v>316</v>
      </c>
    </row>
    <row r="615" spans="1:20" x14ac:dyDescent="0.25">
      <c r="A615">
        <v>14</v>
      </c>
      <c r="B615" t="str">
        <f>HYPERLINK("https://imapinvasives.natureserve.org/imap/services/page/Presence/416340.html", "View")</f>
        <v>View</v>
      </c>
      <c r="C615">
        <v>416340</v>
      </c>
      <c r="D615">
        <v>416340</v>
      </c>
      <c r="E615" t="str">
        <f>HYPERLINK("http://imap3images.s3-website-us-east-1.amazonaws.com/416340/p/photourl1_2014_06_26_andlocke_wo3mf31q.jpg", "View")</f>
        <v>View</v>
      </c>
      <c r="F615" t="s">
        <v>191</v>
      </c>
      <c r="G615" t="s">
        <v>192</v>
      </c>
      <c r="H615">
        <v>78882</v>
      </c>
      <c r="I615" t="str">
        <f t="shared" si="27"/>
        <v>View</v>
      </c>
      <c r="J615" t="s">
        <v>191</v>
      </c>
      <c r="K615" t="s">
        <v>193</v>
      </c>
      <c r="L615">
        <v>78882</v>
      </c>
      <c r="M615">
        <v>45.92</v>
      </c>
      <c r="N615">
        <v>93.84</v>
      </c>
      <c r="P615">
        <v>1</v>
      </c>
      <c r="R615" t="s">
        <v>23</v>
      </c>
      <c r="S615" t="s">
        <v>24</v>
      </c>
      <c r="T615" t="s">
        <v>316</v>
      </c>
    </row>
    <row r="616" spans="1:20" x14ac:dyDescent="0.25">
      <c r="A616">
        <v>15</v>
      </c>
      <c r="B616" t="str">
        <f>HYPERLINK("https://imapinvasives.natureserve.org/imap/services/page/Presence/492260.html", "View")</f>
        <v>View</v>
      </c>
      <c r="C616">
        <v>492260</v>
      </c>
      <c r="D616">
        <v>492260</v>
      </c>
      <c r="E616" t="str">
        <f>HYPERLINK("http://imap3images.s3-website-us-east-1.amazonaws.com/492260/p/photourl1_2016_06_26_julgrinstead_lc3tn2cq.jpg", "View")</f>
        <v>View</v>
      </c>
      <c r="F616" t="s">
        <v>191</v>
      </c>
      <c r="G616" t="s">
        <v>192</v>
      </c>
      <c r="H616">
        <v>78882</v>
      </c>
      <c r="I616" t="str">
        <f t="shared" si="27"/>
        <v>View</v>
      </c>
      <c r="J616" t="s">
        <v>191</v>
      </c>
      <c r="K616" t="s">
        <v>193</v>
      </c>
      <c r="L616">
        <v>78882</v>
      </c>
      <c r="M616">
        <v>41.85</v>
      </c>
      <c r="N616">
        <v>92.74</v>
      </c>
      <c r="P616">
        <v>1</v>
      </c>
      <c r="R616" t="s">
        <v>23</v>
      </c>
      <c r="S616" t="s">
        <v>34</v>
      </c>
      <c r="T616" t="s">
        <v>317</v>
      </c>
    </row>
    <row r="617" spans="1:20" x14ac:dyDescent="0.25">
      <c r="A617">
        <v>16</v>
      </c>
      <c r="B617" t="str">
        <f>HYPERLINK("https://imapinvasives.natureserve.org/imap/services/page/Presence/335935.html", "View")</f>
        <v>View</v>
      </c>
      <c r="C617">
        <v>335935</v>
      </c>
      <c r="D617">
        <v>335935</v>
      </c>
      <c r="E617" t="str">
        <f>HYPERLINK("http://imap3images.s3-website-us-east-1.amazonaws.com/335935/p/photourl1_2013_09_02_tinkolberg_zm0np3h3.jpg", "View")</f>
        <v>View</v>
      </c>
      <c r="F617" t="s">
        <v>191</v>
      </c>
      <c r="G617" t="s">
        <v>192</v>
      </c>
      <c r="H617">
        <v>78882</v>
      </c>
      <c r="I617" t="str">
        <f t="shared" si="27"/>
        <v>View</v>
      </c>
      <c r="J617" t="s">
        <v>191</v>
      </c>
      <c r="K617" t="s">
        <v>193</v>
      </c>
      <c r="L617">
        <v>78882</v>
      </c>
      <c r="M617">
        <v>43.04</v>
      </c>
      <c r="N617">
        <v>97.59</v>
      </c>
      <c r="P617">
        <v>1</v>
      </c>
      <c r="R617" t="s">
        <v>23</v>
      </c>
      <c r="S617" t="s">
        <v>24</v>
      </c>
      <c r="T617" t="s">
        <v>316</v>
      </c>
    </row>
    <row r="618" spans="1:20" x14ac:dyDescent="0.25">
      <c r="A618">
        <v>17</v>
      </c>
      <c r="B618" t="str">
        <f>HYPERLINK("https://imapinvasives.natureserve.org/imap/services/page/Presence/514691.html", "View")</f>
        <v>View</v>
      </c>
      <c r="C618">
        <v>514691</v>
      </c>
      <c r="D618">
        <v>514691</v>
      </c>
      <c r="E618" t="str">
        <f>HYPERLINK("http://imap3images.s3-website-us-east-1.amazonaws.com/514691/p/photourl1_2017_09_18_erncoon_11kzyjd7.jpg", "View")</f>
        <v>View</v>
      </c>
      <c r="F618" t="s">
        <v>191</v>
      </c>
      <c r="G618" t="s">
        <v>192</v>
      </c>
      <c r="H618">
        <v>78882</v>
      </c>
      <c r="I618" t="str">
        <f t="shared" si="27"/>
        <v>View</v>
      </c>
      <c r="J618" t="s">
        <v>191</v>
      </c>
      <c r="K618" t="s">
        <v>193</v>
      </c>
      <c r="L618">
        <v>78882</v>
      </c>
      <c r="M618">
        <v>81.12</v>
      </c>
      <c r="N618">
        <v>99.66</v>
      </c>
      <c r="P618">
        <v>1</v>
      </c>
      <c r="R618" t="s">
        <v>23</v>
      </c>
      <c r="S618" t="s">
        <v>24</v>
      </c>
      <c r="T618" t="s">
        <v>316</v>
      </c>
    </row>
    <row r="619" spans="1:20" x14ac:dyDescent="0.25">
      <c r="A619">
        <v>18</v>
      </c>
      <c r="B619" t="str">
        <f>HYPERLINK("https://imapinvasives.natureserve.org/imap/services/page/Presence/491560.html", "View")</f>
        <v>View</v>
      </c>
      <c r="C619">
        <v>491560</v>
      </c>
      <c r="D619">
        <v>491560</v>
      </c>
      <c r="E619" t="str">
        <f>HYPERLINK("http://imap3images.s3-website-us-east-1.amazonaws.com/491560/p/photourl1_2016_06_09_aprbrun_tzqjsxf7.jpg", "View")</f>
        <v>View</v>
      </c>
      <c r="F619" t="s">
        <v>191</v>
      </c>
      <c r="G619" t="s">
        <v>192</v>
      </c>
      <c r="H619">
        <v>78882</v>
      </c>
      <c r="I619" t="str">
        <f t="shared" si="27"/>
        <v>View</v>
      </c>
      <c r="J619" t="s">
        <v>191</v>
      </c>
      <c r="K619" t="s">
        <v>193</v>
      </c>
      <c r="L619">
        <v>78882</v>
      </c>
      <c r="M619">
        <v>36.74</v>
      </c>
      <c r="N619">
        <v>98.37</v>
      </c>
      <c r="P619">
        <v>1</v>
      </c>
      <c r="R619" t="s">
        <v>23</v>
      </c>
      <c r="S619" t="s">
        <v>24</v>
      </c>
      <c r="T619" t="s">
        <v>316</v>
      </c>
    </row>
    <row r="620" spans="1:20" x14ac:dyDescent="0.25">
      <c r="A620">
        <v>19</v>
      </c>
      <c r="B620" t="str">
        <f>HYPERLINK("https://imapinvasives.natureserve.org/imap/services/page/Presence/336036.html", "View")</f>
        <v>View</v>
      </c>
      <c r="C620">
        <v>336036</v>
      </c>
      <c r="D620">
        <v>336036</v>
      </c>
      <c r="E620" t="str">
        <f>HYPERLINK("http://imap3images.s3-website-us-east-1.amazonaws.com/336036/p/photourl1_2013_09_17_tinkolberg_hq5kf5to.jpg", "View")</f>
        <v>View</v>
      </c>
      <c r="F620" t="s">
        <v>191</v>
      </c>
      <c r="G620" t="s">
        <v>192</v>
      </c>
      <c r="H620">
        <v>78882</v>
      </c>
      <c r="I620" t="str">
        <f t="shared" si="27"/>
        <v>View</v>
      </c>
      <c r="J620" t="s">
        <v>191</v>
      </c>
      <c r="K620" t="s">
        <v>193</v>
      </c>
      <c r="L620">
        <v>78882</v>
      </c>
      <c r="M620">
        <v>46.84</v>
      </c>
      <c r="N620">
        <v>14.23</v>
      </c>
      <c r="P620">
        <v>1</v>
      </c>
      <c r="R620" t="s">
        <v>23</v>
      </c>
      <c r="S620" t="s">
        <v>34</v>
      </c>
      <c r="T620" t="s">
        <v>317</v>
      </c>
    </row>
    <row r="621" spans="1:20" x14ac:dyDescent="0.25">
      <c r="A621">
        <v>20</v>
      </c>
      <c r="B621" t="str">
        <f>HYPERLINK("https://imapinvasives.natureserve.org/imap/services/page/Presence/532937.html", "View")</f>
        <v>View</v>
      </c>
      <c r="C621">
        <v>532937</v>
      </c>
      <c r="D621">
        <v>532937</v>
      </c>
      <c r="E621" t="str">
        <f>HYPERLINK("http://imap3images.s3-website-us-east-1.amazonaws.com/532937/p/photourl1_2019_02_10_thocalandro_oulak5jc.jpg", "View")</f>
        <v>View</v>
      </c>
      <c r="F621" t="s">
        <v>191</v>
      </c>
      <c r="G621" t="s">
        <v>192</v>
      </c>
      <c r="H621">
        <v>78882</v>
      </c>
      <c r="I621" t="str">
        <f t="shared" si="27"/>
        <v>View</v>
      </c>
      <c r="J621" t="s">
        <v>191</v>
      </c>
      <c r="K621" t="s">
        <v>193</v>
      </c>
      <c r="L621">
        <v>78882</v>
      </c>
      <c r="M621">
        <v>30.85</v>
      </c>
      <c r="N621">
        <v>57.52</v>
      </c>
      <c r="P621">
        <v>1</v>
      </c>
      <c r="R621" t="s">
        <v>23</v>
      </c>
      <c r="S621" t="s">
        <v>64</v>
      </c>
      <c r="T621" t="s">
        <v>317</v>
      </c>
    </row>
    <row r="622" spans="1:20" x14ac:dyDescent="0.25">
      <c r="A622">
        <v>21</v>
      </c>
      <c r="B622" t="str">
        <f>HYPERLINK("https://imapinvasives.natureserve.org/imap/services/page/Presence/510332.html", "View")</f>
        <v>View</v>
      </c>
      <c r="C622">
        <v>510332</v>
      </c>
      <c r="D622">
        <v>510332</v>
      </c>
      <c r="E622" t="str">
        <f>HYPERLINK("http://imap3images.s3-website-us-east-1.amazonaws.com/510332/p/photourl1_2017_02_24_megkuchma_uvkymji1.jpg", "View")</f>
        <v>View</v>
      </c>
      <c r="F622" t="s">
        <v>191</v>
      </c>
      <c r="G622" t="s">
        <v>192</v>
      </c>
      <c r="H622">
        <v>78882</v>
      </c>
      <c r="I622" t="str">
        <f t="shared" si="27"/>
        <v>View</v>
      </c>
      <c r="J622" t="s">
        <v>191</v>
      </c>
      <c r="K622" t="s">
        <v>193</v>
      </c>
      <c r="L622">
        <v>78882</v>
      </c>
      <c r="M622">
        <v>29</v>
      </c>
      <c r="N622">
        <v>41.72</v>
      </c>
      <c r="P622">
        <v>1</v>
      </c>
      <c r="R622" t="s">
        <v>23</v>
      </c>
      <c r="S622" t="s">
        <v>64</v>
      </c>
      <c r="T622" t="s">
        <v>317</v>
      </c>
    </row>
    <row r="623" spans="1:20" x14ac:dyDescent="0.25">
      <c r="A623">
        <v>22</v>
      </c>
      <c r="B623" t="str">
        <f>HYPERLINK("https://imapinvasives.natureserve.org/imap/services/page/Presence/1068619.html", "View")</f>
        <v>View</v>
      </c>
      <c r="C623">
        <v>1068619</v>
      </c>
      <c r="D623">
        <v>1073446</v>
      </c>
      <c r="E623" t="str">
        <f>HYPERLINK("http://imap3images.s3-website-us-east-1.amazonaws.com/1073446/p/imap_app_photo_1599683693916.jpg", "View")</f>
        <v>View</v>
      </c>
      <c r="F623" t="s">
        <v>191</v>
      </c>
      <c r="G623" t="s">
        <v>192</v>
      </c>
      <c r="H623">
        <v>78882</v>
      </c>
      <c r="I623" t="str">
        <f t="shared" si="27"/>
        <v>View</v>
      </c>
      <c r="J623" t="s">
        <v>191</v>
      </c>
      <c r="K623" t="s">
        <v>193</v>
      </c>
      <c r="L623">
        <v>78882</v>
      </c>
      <c r="M623">
        <v>35.42</v>
      </c>
      <c r="N623">
        <v>99.27</v>
      </c>
      <c r="P623">
        <v>1</v>
      </c>
      <c r="R623" t="s">
        <v>23</v>
      </c>
      <c r="S623" t="s">
        <v>24</v>
      </c>
      <c r="T623" t="s">
        <v>316</v>
      </c>
    </row>
    <row r="624" spans="1:20" x14ac:dyDescent="0.25">
      <c r="A624">
        <v>23</v>
      </c>
      <c r="B624" t="str">
        <f>HYPERLINK("https://imapinvasives.natureserve.org/imap/services/page/Presence/516268.html", "View")</f>
        <v>View</v>
      </c>
      <c r="C624">
        <v>516268</v>
      </c>
      <c r="D624">
        <v>516268</v>
      </c>
      <c r="E624" t="str">
        <f>HYPERLINK("http://imap3images.s3-website-us-east-1.amazonaws.com/516268/p/photourl1_2017_10_31_spebarrett_miao0eew.jpg", "View")</f>
        <v>View</v>
      </c>
      <c r="F624" t="s">
        <v>191</v>
      </c>
      <c r="G624" t="s">
        <v>192</v>
      </c>
      <c r="H624">
        <v>78882</v>
      </c>
      <c r="I624" t="str">
        <f t="shared" si="27"/>
        <v>View</v>
      </c>
      <c r="J624" t="s">
        <v>191</v>
      </c>
      <c r="K624" t="s">
        <v>193</v>
      </c>
      <c r="L624">
        <v>78882</v>
      </c>
      <c r="M624">
        <v>36.74</v>
      </c>
      <c r="N624">
        <v>97.26</v>
      </c>
      <c r="P624">
        <v>1</v>
      </c>
      <c r="R624" t="s">
        <v>23</v>
      </c>
      <c r="S624" t="s">
        <v>24</v>
      </c>
      <c r="T624" t="s">
        <v>316</v>
      </c>
    </row>
    <row r="625" spans="1:20" x14ac:dyDescent="0.25">
      <c r="A625">
        <v>24</v>
      </c>
      <c r="B625" t="str">
        <f>HYPERLINK("https://imapinvasives.natureserve.org/imap/services/page/Presence/1020226.html", "View")</f>
        <v>View</v>
      </c>
      <c r="C625">
        <v>1020226</v>
      </c>
      <c r="D625">
        <v>1020755</v>
      </c>
      <c r="E625" t="str">
        <f>HYPERLINK("http://imap3images.s3-website-us-east-1.amazonaws.com/1020755/p/imap_app_photo_1562850999980.jpg", "View")</f>
        <v>View</v>
      </c>
      <c r="F625" t="s">
        <v>191</v>
      </c>
      <c r="G625" t="s">
        <v>192</v>
      </c>
      <c r="H625">
        <v>78882</v>
      </c>
      <c r="I625" t="str">
        <f t="shared" si="27"/>
        <v>View</v>
      </c>
      <c r="J625" t="s">
        <v>191</v>
      </c>
      <c r="K625" t="s">
        <v>193</v>
      </c>
      <c r="L625">
        <v>78882</v>
      </c>
      <c r="M625">
        <v>72.7</v>
      </c>
      <c r="N625">
        <v>95.95</v>
      </c>
      <c r="P625">
        <v>1</v>
      </c>
      <c r="R625" t="s">
        <v>23</v>
      </c>
      <c r="S625" t="s">
        <v>24</v>
      </c>
      <c r="T625" t="s">
        <v>316</v>
      </c>
    </row>
    <row r="626" spans="1:20" x14ac:dyDescent="0.25">
      <c r="A626">
        <v>25</v>
      </c>
      <c r="B626" t="str">
        <f>HYPERLINK("https://imapinvasives.natureserve.org/imap/services/page/Presence/1022826.html", "View")</f>
        <v>View</v>
      </c>
      <c r="C626">
        <v>1022826</v>
      </c>
      <c r="D626">
        <v>1023378</v>
      </c>
      <c r="E626" t="str">
        <f>HYPERLINK("http://imap3images.s3-website-us-east-1.amazonaws.com/1023378/p/DSCN8907.JPG", "View")</f>
        <v>View</v>
      </c>
      <c r="F626" t="s">
        <v>191</v>
      </c>
      <c r="G626" t="s">
        <v>192</v>
      </c>
      <c r="H626">
        <v>78882</v>
      </c>
      <c r="I626" t="str">
        <f t="shared" si="27"/>
        <v>View</v>
      </c>
      <c r="J626" t="s">
        <v>191</v>
      </c>
      <c r="K626" t="s">
        <v>193</v>
      </c>
      <c r="L626">
        <v>78882</v>
      </c>
      <c r="M626">
        <v>46.96</v>
      </c>
      <c r="N626">
        <v>94.77</v>
      </c>
      <c r="P626">
        <v>1</v>
      </c>
      <c r="R626" t="s">
        <v>23</v>
      </c>
      <c r="S626" t="s">
        <v>24</v>
      </c>
      <c r="T626" t="s">
        <v>316</v>
      </c>
    </row>
    <row r="627" spans="1:20" x14ac:dyDescent="0.25">
      <c r="A627">
        <v>26</v>
      </c>
      <c r="B627" t="str">
        <f>HYPERLINK("https://imapinvasives.natureserve.org/imap/services/page/Presence/515927.html", "View")</f>
        <v>View</v>
      </c>
      <c r="C627">
        <v>515927</v>
      </c>
      <c r="D627">
        <v>515927</v>
      </c>
      <c r="E627" t="str">
        <f>HYPERLINK("http://imap3images.s3-website-us-east-1.amazonaws.com/515927/p/photourl1_2017_10_05_gradwyer_5v8yhe0i.jpg", "View")</f>
        <v>View</v>
      </c>
      <c r="F627" t="s">
        <v>191</v>
      </c>
      <c r="G627" t="s">
        <v>192</v>
      </c>
      <c r="H627">
        <v>78882</v>
      </c>
      <c r="I627" t="str">
        <f t="shared" si="27"/>
        <v>View</v>
      </c>
      <c r="J627" t="s">
        <v>191</v>
      </c>
      <c r="K627" t="s">
        <v>193</v>
      </c>
      <c r="L627">
        <v>78882</v>
      </c>
      <c r="M627">
        <v>33.58</v>
      </c>
      <c r="N627">
        <v>36.67</v>
      </c>
      <c r="P627">
        <v>1</v>
      </c>
      <c r="R627" t="s">
        <v>23</v>
      </c>
      <c r="S627" t="s">
        <v>64</v>
      </c>
      <c r="T627" t="s">
        <v>317</v>
      </c>
    </row>
    <row r="628" spans="1:20" x14ac:dyDescent="0.25">
      <c r="A628">
        <v>27</v>
      </c>
      <c r="B628" t="str">
        <f>HYPERLINK("https://imapinvasives.natureserve.org/imap/services/page/Presence/1019668.html", "View")</f>
        <v>View</v>
      </c>
      <c r="C628">
        <v>1019668</v>
      </c>
      <c r="D628">
        <v>1020194</v>
      </c>
      <c r="E628" t="str">
        <f>HYPERLINK("http://imap3images.s3-website-us-east-1.amazonaws.com/1020194/p/imap_app_photo_1562630445161.jpg", "View")</f>
        <v>View</v>
      </c>
      <c r="F628" t="s">
        <v>191</v>
      </c>
      <c r="G628" t="s">
        <v>192</v>
      </c>
      <c r="H628">
        <v>78882</v>
      </c>
      <c r="I628" t="str">
        <f t="shared" si="27"/>
        <v>View</v>
      </c>
      <c r="J628" t="s">
        <v>191</v>
      </c>
      <c r="K628" t="s">
        <v>193</v>
      </c>
      <c r="L628">
        <v>78882</v>
      </c>
      <c r="M628">
        <v>4.41</v>
      </c>
      <c r="N628">
        <v>54.94</v>
      </c>
      <c r="P628">
        <v>1</v>
      </c>
      <c r="R628" t="s">
        <v>23</v>
      </c>
      <c r="S628" t="s">
        <v>24</v>
      </c>
      <c r="T628" t="s">
        <v>316</v>
      </c>
    </row>
    <row r="629" spans="1:20" x14ac:dyDescent="0.25">
      <c r="A629">
        <v>28</v>
      </c>
      <c r="B629" t="str">
        <f>HYPERLINK("https://imapinvasives.natureserve.org/imap/services/page/Presence/513255.html", "View")</f>
        <v>View</v>
      </c>
      <c r="C629">
        <v>513255</v>
      </c>
      <c r="D629">
        <v>513255</v>
      </c>
      <c r="E629" t="str">
        <f>HYPERLINK("http://imap3images.s3-website-us-east-1.amazonaws.com/513255/p/photourl1_2017_07_19_steyoung_00gkbn1u.jpg", "View")</f>
        <v>View</v>
      </c>
      <c r="F629" t="s">
        <v>191</v>
      </c>
      <c r="G629" t="s">
        <v>192</v>
      </c>
      <c r="H629">
        <v>78882</v>
      </c>
      <c r="I629" t="str">
        <f>HYPERLINK("https://www.inaturalist.org/taxa/53945-Styphnolobium-japonicum", "View")</f>
        <v>View</v>
      </c>
      <c r="J629" t="s">
        <v>199</v>
      </c>
      <c r="K629" t="s">
        <v>200</v>
      </c>
      <c r="L629">
        <v>53945</v>
      </c>
      <c r="M629">
        <v>41.24</v>
      </c>
      <c r="N629">
        <v>30.86</v>
      </c>
      <c r="P629">
        <v>0</v>
      </c>
      <c r="R629" t="s">
        <v>29</v>
      </c>
      <c r="S629" t="s">
        <v>33</v>
      </c>
      <c r="T629" t="s">
        <v>317</v>
      </c>
    </row>
    <row r="630" spans="1:20" x14ac:dyDescent="0.25">
      <c r="A630">
        <v>29</v>
      </c>
      <c r="B630" t="str">
        <f>HYPERLINK("https://imapinvasives.natureserve.org/imap/services/page/Presence/1023025.html", "View")</f>
        <v>View</v>
      </c>
      <c r="C630">
        <v>1023025</v>
      </c>
      <c r="D630">
        <v>1023594</v>
      </c>
      <c r="E630" t="str">
        <f>HYPERLINK("http://imap3images.s3-website-us-east-1.amazonaws.com/1023594/p/Photo2-20180606-185546.jpg", "View")</f>
        <v>View</v>
      </c>
      <c r="F630" t="s">
        <v>191</v>
      </c>
      <c r="G630" t="s">
        <v>192</v>
      </c>
      <c r="H630">
        <v>78882</v>
      </c>
      <c r="I630" t="str">
        <f t="shared" ref="I630:I638" si="28">HYPERLINK("https://www.inaturalist.org/taxa/78882-Rosa-multiflora", "View")</f>
        <v>View</v>
      </c>
      <c r="J630" t="s">
        <v>191</v>
      </c>
      <c r="K630" t="s">
        <v>193</v>
      </c>
      <c r="L630">
        <v>78882</v>
      </c>
      <c r="M630">
        <v>72.7</v>
      </c>
      <c r="N630">
        <v>53.04</v>
      </c>
      <c r="P630">
        <v>1</v>
      </c>
      <c r="R630" t="s">
        <v>23</v>
      </c>
      <c r="S630" t="s">
        <v>39</v>
      </c>
      <c r="T630" t="s">
        <v>317</v>
      </c>
    </row>
    <row r="631" spans="1:20" x14ac:dyDescent="0.25">
      <c r="A631">
        <v>30</v>
      </c>
      <c r="B631" t="str">
        <f>HYPERLINK("https://imapinvasives.natureserve.org/imap/services/page/Presence/335421.html", "View")</f>
        <v>View</v>
      </c>
      <c r="C631">
        <v>335421</v>
      </c>
      <c r="D631">
        <v>335421</v>
      </c>
      <c r="E631" t="str">
        <f>HYPERLINK("http://imap3images.s3-website-us-east-1.amazonaws.com/335421/p/photourl1_2012_07_28_alidenny_jmpwhzur.jpg", "View")</f>
        <v>View</v>
      </c>
      <c r="F631" t="s">
        <v>191</v>
      </c>
      <c r="G631" t="s">
        <v>192</v>
      </c>
      <c r="H631">
        <v>78882</v>
      </c>
      <c r="I631" t="str">
        <f t="shared" si="28"/>
        <v>View</v>
      </c>
      <c r="J631" t="s">
        <v>191</v>
      </c>
      <c r="K631" t="s">
        <v>193</v>
      </c>
      <c r="L631">
        <v>78882</v>
      </c>
      <c r="M631">
        <v>14.83</v>
      </c>
      <c r="N631">
        <v>30.41</v>
      </c>
      <c r="P631">
        <v>1</v>
      </c>
      <c r="R631" t="s">
        <v>23</v>
      </c>
      <c r="S631" t="s">
        <v>39</v>
      </c>
      <c r="T631" t="s">
        <v>317</v>
      </c>
    </row>
    <row r="632" spans="1:20" x14ac:dyDescent="0.25">
      <c r="A632">
        <v>31</v>
      </c>
      <c r="B632" t="str">
        <f>HYPERLINK("https://imapinvasives.natureserve.org/imap/services/page/Presence/1068079.html", "View")</f>
        <v>View</v>
      </c>
      <c r="C632">
        <v>1068079</v>
      </c>
      <c r="D632">
        <v>1072860</v>
      </c>
      <c r="E632" t="str">
        <f>HYPERLINK("http://imap3images.s3-website-us-east-1.amazonaws.com/1072860/p/attachment1.jpg", "View")</f>
        <v>View</v>
      </c>
      <c r="F632" t="s">
        <v>191</v>
      </c>
      <c r="G632" t="s">
        <v>192</v>
      </c>
      <c r="H632">
        <v>78882</v>
      </c>
      <c r="I632" t="str">
        <f t="shared" si="28"/>
        <v>View</v>
      </c>
      <c r="J632" t="s">
        <v>191</v>
      </c>
      <c r="K632" t="s">
        <v>193</v>
      </c>
      <c r="L632">
        <v>78882</v>
      </c>
      <c r="M632">
        <v>43.99</v>
      </c>
      <c r="N632">
        <v>12.54</v>
      </c>
      <c r="P632">
        <v>1</v>
      </c>
      <c r="R632" t="s">
        <v>23</v>
      </c>
      <c r="S632" t="s">
        <v>33</v>
      </c>
      <c r="T632" t="s">
        <v>317</v>
      </c>
    </row>
    <row r="633" spans="1:20" x14ac:dyDescent="0.25">
      <c r="A633">
        <v>32</v>
      </c>
      <c r="B633" t="str">
        <f>HYPERLINK("https://imapinvasives.natureserve.org/imap/services/page/Presence/420519.html", "View")</f>
        <v>View</v>
      </c>
      <c r="C633">
        <v>420519</v>
      </c>
      <c r="D633">
        <v>420519</v>
      </c>
      <c r="E633" t="str">
        <f>HYPERLINK("http://imap3images.s3-website-us-east-1.amazonaws.com/420519/p/photourl1_2014_09_09_jerkrajna_n9rh6353.jpg", "View")</f>
        <v>View</v>
      </c>
      <c r="F633" t="s">
        <v>191</v>
      </c>
      <c r="G633" t="s">
        <v>192</v>
      </c>
      <c r="H633">
        <v>78882</v>
      </c>
      <c r="I633" t="str">
        <f t="shared" si="28"/>
        <v>View</v>
      </c>
      <c r="J633" t="s">
        <v>191</v>
      </c>
      <c r="K633" t="s">
        <v>193</v>
      </c>
      <c r="L633">
        <v>78882</v>
      </c>
      <c r="M633">
        <v>23.67</v>
      </c>
      <c r="N633">
        <v>34.479999999999997</v>
      </c>
      <c r="P633">
        <v>1</v>
      </c>
      <c r="R633" t="s">
        <v>23</v>
      </c>
      <c r="S633" t="s">
        <v>34</v>
      </c>
      <c r="T633" t="s">
        <v>317</v>
      </c>
    </row>
    <row r="634" spans="1:20" x14ac:dyDescent="0.25">
      <c r="A634">
        <v>33</v>
      </c>
      <c r="B634" t="str">
        <f>HYPERLINK("https://imapinvasives.natureserve.org/imap/services/page/Presence/1367602.html", "View")</f>
        <v>View</v>
      </c>
      <c r="C634">
        <v>1367602</v>
      </c>
      <c r="D634">
        <v>1385652</v>
      </c>
      <c r="E634" t="str">
        <f>HYPERLINK("http://imap3images.s3-website-us-east-1.amazonaws.com/1385652/p/Photo_4.jpg", "View")</f>
        <v>View</v>
      </c>
      <c r="F634" t="s">
        <v>191</v>
      </c>
      <c r="G634" t="s">
        <v>192</v>
      </c>
      <c r="H634">
        <v>78882</v>
      </c>
      <c r="I634" t="str">
        <f t="shared" si="28"/>
        <v>View</v>
      </c>
      <c r="J634" t="s">
        <v>191</v>
      </c>
      <c r="K634" t="s">
        <v>193</v>
      </c>
      <c r="L634">
        <v>78882</v>
      </c>
      <c r="M634">
        <v>40.549999999999997</v>
      </c>
      <c r="N634">
        <v>91.42</v>
      </c>
      <c r="P634">
        <v>1</v>
      </c>
      <c r="R634" t="s">
        <v>23</v>
      </c>
      <c r="S634" t="s">
        <v>24</v>
      </c>
      <c r="T634" t="s">
        <v>316</v>
      </c>
    </row>
    <row r="635" spans="1:20" x14ac:dyDescent="0.25">
      <c r="A635">
        <v>34</v>
      </c>
      <c r="B635" t="str">
        <f>HYPERLINK("https://imapinvasives.natureserve.org/imap/services/page/Presence/527387.html", "View")</f>
        <v>View</v>
      </c>
      <c r="C635">
        <v>527387</v>
      </c>
      <c r="D635">
        <v>527387</v>
      </c>
      <c r="E635" t="str">
        <f>HYPERLINK("http://imap3images.s3-website-us-east-1.amazonaws.com/527387/p/photourl1_2018_06_21_falneske_2hnhm85c.jpg", "View")</f>
        <v>View</v>
      </c>
      <c r="F635" t="s">
        <v>191</v>
      </c>
      <c r="G635" t="s">
        <v>192</v>
      </c>
      <c r="H635">
        <v>78882</v>
      </c>
      <c r="I635" t="str">
        <f t="shared" si="28"/>
        <v>View</v>
      </c>
      <c r="J635" t="s">
        <v>191</v>
      </c>
      <c r="K635" t="s">
        <v>193</v>
      </c>
      <c r="L635">
        <v>78882</v>
      </c>
      <c r="M635">
        <v>70.63</v>
      </c>
      <c r="N635">
        <v>84.23</v>
      </c>
      <c r="P635">
        <v>1</v>
      </c>
      <c r="R635" t="s">
        <v>23</v>
      </c>
      <c r="S635" t="s">
        <v>24</v>
      </c>
      <c r="T635" t="s">
        <v>316</v>
      </c>
    </row>
    <row r="636" spans="1:20" x14ac:dyDescent="0.25">
      <c r="A636">
        <v>35</v>
      </c>
      <c r="B636" t="str">
        <f>HYPERLINK("https://imapinvasives.natureserve.org/imap/services/page/Presence/1132071.html", "View")</f>
        <v>View</v>
      </c>
      <c r="C636">
        <v>1132071</v>
      </c>
      <c r="D636">
        <v>1138455</v>
      </c>
      <c r="E636" t="str">
        <f>HYPERLINK("http://imap3images.s3-website-us-east-1.amazonaws.com/1138455/p/imap_app_photo_1618889122821.jpg", "View")</f>
        <v>View</v>
      </c>
      <c r="F636" t="s">
        <v>191</v>
      </c>
      <c r="G636" t="s">
        <v>192</v>
      </c>
      <c r="H636">
        <v>78882</v>
      </c>
      <c r="I636" t="str">
        <f t="shared" si="28"/>
        <v>View</v>
      </c>
      <c r="J636" t="s">
        <v>191</v>
      </c>
      <c r="K636" t="s">
        <v>193</v>
      </c>
      <c r="L636">
        <v>78882</v>
      </c>
      <c r="M636">
        <v>86.19</v>
      </c>
      <c r="N636">
        <v>99.76</v>
      </c>
      <c r="P636">
        <v>1</v>
      </c>
      <c r="R636" t="s">
        <v>23</v>
      </c>
      <c r="S636" t="s">
        <v>24</v>
      </c>
      <c r="T636" t="s">
        <v>316</v>
      </c>
    </row>
    <row r="637" spans="1:20" x14ac:dyDescent="0.25">
      <c r="A637">
        <v>36</v>
      </c>
      <c r="B637" t="str">
        <f>HYPERLINK("https://imapinvasives.natureserve.org/imap/services/page/Presence/1056350.html", "View")</f>
        <v>View</v>
      </c>
      <c r="C637">
        <v>1056350</v>
      </c>
      <c r="D637">
        <v>1060804</v>
      </c>
      <c r="E637" t="str">
        <f>HYPERLINK("http://imap3images.s3-website-us-east-1.amazonaws.com/1060804/p/imap_app_photo_1594847971324.jpg", "View")</f>
        <v>View</v>
      </c>
      <c r="F637" t="s">
        <v>191</v>
      </c>
      <c r="G637" t="s">
        <v>192</v>
      </c>
      <c r="H637">
        <v>78882</v>
      </c>
      <c r="I637" t="str">
        <f t="shared" si="28"/>
        <v>View</v>
      </c>
      <c r="J637" t="s">
        <v>191</v>
      </c>
      <c r="K637" t="s">
        <v>193</v>
      </c>
      <c r="L637">
        <v>78882</v>
      </c>
      <c r="M637">
        <v>37.840000000000003</v>
      </c>
      <c r="N637">
        <v>28.16</v>
      </c>
      <c r="P637">
        <v>1</v>
      </c>
      <c r="R637" t="s">
        <v>23</v>
      </c>
      <c r="S637" t="s">
        <v>79</v>
      </c>
      <c r="T637" t="s">
        <v>317</v>
      </c>
    </row>
    <row r="638" spans="1:20" x14ac:dyDescent="0.25">
      <c r="A638">
        <v>37</v>
      </c>
      <c r="B638" t="str">
        <f>HYPERLINK("https://imapinvasives.natureserve.org/imap/services/page/Presence/1340885.html", "View")</f>
        <v>View</v>
      </c>
      <c r="C638">
        <v>1340885</v>
      </c>
      <c r="D638">
        <v>1356099</v>
      </c>
      <c r="E638" t="str">
        <f>HYPERLINK("http://imap3images.s3-website-us-east-1.amazonaws.com/1356099/p/imap_app_photo_1689618664824.jpg", "View")</f>
        <v>View</v>
      </c>
      <c r="F638" t="s">
        <v>191</v>
      </c>
      <c r="G638" t="s">
        <v>192</v>
      </c>
      <c r="H638">
        <v>78882</v>
      </c>
      <c r="I638" t="str">
        <f t="shared" si="28"/>
        <v>View</v>
      </c>
      <c r="J638" t="s">
        <v>191</v>
      </c>
      <c r="K638" t="s">
        <v>193</v>
      </c>
      <c r="L638">
        <v>78882</v>
      </c>
      <c r="M638">
        <v>49.68</v>
      </c>
      <c r="N638">
        <v>61.84</v>
      </c>
      <c r="P638">
        <v>1</v>
      </c>
      <c r="R638" t="s">
        <v>23</v>
      </c>
      <c r="S638" t="s">
        <v>24</v>
      </c>
      <c r="T638" t="s">
        <v>316</v>
      </c>
    </row>
    <row r="639" spans="1:20" x14ac:dyDescent="0.25">
      <c r="A639">
        <v>38</v>
      </c>
      <c r="B639" t="str">
        <f>HYPERLINK("https://imapinvasives.natureserve.org/imap/services/page/Presence/1036753.html", "View")</f>
        <v>View</v>
      </c>
      <c r="C639">
        <v>1036753</v>
      </c>
      <c r="D639">
        <v>1040037</v>
      </c>
      <c r="E639" t="str">
        <f>HYPERLINK("http://imap3images.s3-website-us-east-1.amazonaws.com/1040037/p/imap_app_photo_1572467476431.jpg", "View")</f>
        <v>View</v>
      </c>
      <c r="F639" t="s">
        <v>191</v>
      </c>
      <c r="G639" t="s">
        <v>192</v>
      </c>
      <c r="H639">
        <v>78882</v>
      </c>
      <c r="I639" t="str">
        <f>HYPERLINK("https://www.inaturalist.org/taxa/128551-Solidago-rugosa", "View")</f>
        <v>View</v>
      </c>
      <c r="J639" t="s">
        <v>201</v>
      </c>
      <c r="K639" t="s">
        <v>202</v>
      </c>
      <c r="L639">
        <v>128551</v>
      </c>
      <c r="M639">
        <v>10.35</v>
      </c>
      <c r="N639">
        <v>59.17</v>
      </c>
      <c r="P639">
        <v>0</v>
      </c>
      <c r="R639" t="s">
        <v>29</v>
      </c>
      <c r="S639" t="s">
        <v>33</v>
      </c>
      <c r="T639" t="s">
        <v>317</v>
      </c>
    </row>
    <row r="640" spans="1:20" x14ac:dyDescent="0.25">
      <c r="A640">
        <v>39</v>
      </c>
      <c r="B640" t="str">
        <f>HYPERLINK("https://imapinvasives.natureserve.org/imap/services/page/Presence/425347.html", "View")</f>
        <v>View</v>
      </c>
      <c r="C640">
        <v>425347</v>
      </c>
      <c r="D640">
        <v>425347</v>
      </c>
      <c r="E640" t="str">
        <f>HYPERLINK("http://imap3images.s3-website-us-east-1.amazonaws.com/425347/p/photourl1_2014_11_23_danmadziarz_gc5iqr78.jpg", "View")</f>
        <v>View</v>
      </c>
      <c r="F640" t="s">
        <v>191</v>
      </c>
      <c r="G640" t="s">
        <v>192</v>
      </c>
      <c r="H640">
        <v>78882</v>
      </c>
      <c r="I640" t="str">
        <f>HYPERLINK("https://www.inaturalist.org/taxa/78882-Rosa-multiflora", "View")</f>
        <v>View</v>
      </c>
      <c r="J640" t="s">
        <v>191</v>
      </c>
      <c r="K640" t="s">
        <v>193</v>
      </c>
      <c r="L640">
        <v>78882</v>
      </c>
      <c r="M640">
        <v>46.96</v>
      </c>
      <c r="N640">
        <v>56.04</v>
      </c>
      <c r="P640">
        <v>1</v>
      </c>
      <c r="R640" t="s">
        <v>23</v>
      </c>
      <c r="S640" t="s">
        <v>24</v>
      </c>
      <c r="T640" t="s">
        <v>316</v>
      </c>
    </row>
    <row r="641" spans="1:20" x14ac:dyDescent="0.25">
      <c r="A641">
        <v>40</v>
      </c>
      <c r="B641" t="str">
        <f>HYPERLINK("https://imapinvasives.natureserve.org/imap/services/page/Presence/1034895.html", "View")</f>
        <v>View</v>
      </c>
      <c r="C641">
        <v>1034895</v>
      </c>
      <c r="D641">
        <v>1037408</v>
      </c>
      <c r="E641" t="str">
        <f>HYPERLINK("http://imap3images.s3-website-us-east-1.amazonaws.com/1037408/p/imap_app_photo_1571490216291.jpg", "View")</f>
        <v>View</v>
      </c>
      <c r="F641" t="s">
        <v>191</v>
      </c>
      <c r="G641" t="s">
        <v>192</v>
      </c>
      <c r="H641">
        <v>78882</v>
      </c>
      <c r="I641" t="str">
        <f>HYPERLINK("https://www.inaturalist.org/taxa/78882-Rosa-multiflora", "View")</f>
        <v>View</v>
      </c>
      <c r="J641" t="s">
        <v>191</v>
      </c>
      <c r="K641" t="s">
        <v>193</v>
      </c>
      <c r="L641">
        <v>78882</v>
      </c>
      <c r="M641">
        <v>61.09</v>
      </c>
      <c r="N641">
        <v>98.01</v>
      </c>
      <c r="P641">
        <v>1</v>
      </c>
      <c r="R641" t="s">
        <v>23</v>
      </c>
      <c r="S641" t="s">
        <v>24</v>
      </c>
      <c r="T641" t="s">
        <v>316</v>
      </c>
    </row>
    <row r="642" spans="1:20" x14ac:dyDescent="0.25">
      <c r="A642">
        <v>41</v>
      </c>
      <c r="B642" t="str">
        <f>HYPERLINK("https://imapinvasives.natureserve.org/imap/services/page/Presence/476366.html", "View")</f>
        <v>View</v>
      </c>
      <c r="C642">
        <v>476366</v>
      </c>
      <c r="D642">
        <v>476366</v>
      </c>
      <c r="E642" t="str">
        <f>HYPERLINK("http://imap3images.s3-website-us-east-1.amazonaws.com/476366/p/photourl1_2016_04_22_rebhargrave_f2tppqap.jpg", "View")</f>
        <v>View</v>
      </c>
      <c r="F642" t="s">
        <v>191</v>
      </c>
      <c r="G642" t="s">
        <v>192</v>
      </c>
      <c r="H642">
        <v>78882</v>
      </c>
      <c r="I642" t="str">
        <f>HYPERLINK("https://www.inaturalist.org/taxa/78882-Rosa-multiflora", "View")</f>
        <v>View</v>
      </c>
      <c r="J642" t="s">
        <v>191</v>
      </c>
      <c r="K642" t="s">
        <v>193</v>
      </c>
      <c r="L642">
        <v>78882</v>
      </c>
      <c r="M642">
        <v>22.88</v>
      </c>
      <c r="N642">
        <v>88.46</v>
      </c>
      <c r="P642">
        <v>1</v>
      </c>
      <c r="R642" t="s">
        <v>23</v>
      </c>
      <c r="S642" t="s">
        <v>64</v>
      </c>
      <c r="T642" t="s">
        <v>317</v>
      </c>
    </row>
    <row r="643" spans="1:20" x14ac:dyDescent="0.25">
      <c r="A643">
        <v>42</v>
      </c>
      <c r="B643" t="str">
        <f>HYPERLINK("https://imapinvasives.natureserve.org/imap/services/page/Presence/1051034.html", "View")</f>
        <v>View</v>
      </c>
      <c r="C643">
        <v>1051034</v>
      </c>
      <c r="D643">
        <v>1055075</v>
      </c>
      <c r="E643" t="str">
        <f>HYPERLINK("http://imap3images.s3-website-us-east-1.amazonaws.com/1055075/p/imap_app_photo_1592429287004.jpg", "View")</f>
        <v>View</v>
      </c>
      <c r="F643" t="s">
        <v>191</v>
      </c>
      <c r="G643" t="s">
        <v>192</v>
      </c>
      <c r="H643">
        <v>78882</v>
      </c>
      <c r="I643" t="str">
        <f>HYPERLINK("https://www.inaturalist.org/taxa/78882-Rosa-multiflora", "View")</f>
        <v>View</v>
      </c>
      <c r="J643" t="s">
        <v>191</v>
      </c>
      <c r="K643" t="s">
        <v>193</v>
      </c>
      <c r="L643">
        <v>78882</v>
      </c>
      <c r="M643">
        <v>64.77</v>
      </c>
      <c r="N643">
        <v>76.56</v>
      </c>
      <c r="P643">
        <v>1</v>
      </c>
      <c r="R643" t="s">
        <v>23</v>
      </c>
      <c r="S643" t="s">
        <v>24</v>
      </c>
      <c r="T643" t="s">
        <v>316</v>
      </c>
    </row>
    <row r="644" spans="1:20" x14ac:dyDescent="0.25">
      <c r="A644">
        <v>43</v>
      </c>
      <c r="B644" t="str">
        <f>HYPERLINK("https://imapinvasives.natureserve.org/imap/services/page/Presence/410142.html", "View")</f>
        <v>View</v>
      </c>
      <c r="C644">
        <v>410142</v>
      </c>
      <c r="D644">
        <v>410142</v>
      </c>
      <c r="E644" t="str">
        <f>HYPERLINK("http://imap3images.s3-website-us-east-1.amazonaws.com/410142/p/photourl1_2013_11_16_tinkolberg_p74i8v3u.jpg", "View")</f>
        <v>View</v>
      </c>
      <c r="F644" t="s">
        <v>191</v>
      </c>
      <c r="G644" t="s">
        <v>192</v>
      </c>
      <c r="H644">
        <v>78882</v>
      </c>
      <c r="I644" t="str">
        <f>HYPERLINK("https://www.inaturalist.org/taxa/78882-Rosa-multiflora", "View")</f>
        <v>View</v>
      </c>
      <c r="J644" t="s">
        <v>191</v>
      </c>
      <c r="K644" t="s">
        <v>193</v>
      </c>
      <c r="L644">
        <v>78882</v>
      </c>
      <c r="M644">
        <v>46.84</v>
      </c>
      <c r="N644">
        <v>47.07</v>
      </c>
      <c r="P644">
        <v>1</v>
      </c>
      <c r="R644" t="s">
        <v>23</v>
      </c>
      <c r="S644" t="s">
        <v>24</v>
      </c>
      <c r="T644" t="s">
        <v>316</v>
      </c>
    </row>
    <row r="645" spans="1:20" x14ac:dyDescent="0.25">
      <c r="A645">
        <v>44</v>
      </c>
      <c r="B645" t="str">
        <f>HYPERLINK("https://imapinvasives.natureserve.org/imap/services/page/Presence/1181917.html", "View")</f>
        <v>View</v>
      </c>
      <c r="C645">
        <v>1181917</v>
      </c>
      <c r="D645">
        <v>1189805</v>
      </c>
      <c r="E645" t="str">
        <f>HYPERLINK("http://imap3images.s3-website-us-east-1.amazonaws.com/1189805/p/imap_app_photo_1637438984465.jpg", "View")</f>
        <v>View</v>
      </c>
      <c r="F645" t="s">
        <v>191</v>
      </c>
      <c r="G645" t="s">
        <v>192</v>
      </c>
      <c r="H645">
        <v>78882</v>
      </c>
      <c r="I645" t="str">
        <f>HYPERLINK("https://www.inaturalist.org/taxa/60746-Smilax-rotundifolia", "View")</f>
        <v>View</v>
      </c>
      <c r="J645" t="s">
        <v>45</v>
      </c>
      <c r="K645" t="s">
        <v>46</v>
      </c>
      <c r="L645">
        <v>60746</v>
      </c>
      <c r="M645">
        <v>74.239999999999995</v>
      </c>
      <c r="N645">
        <v>98.51</v>
      </c>
      <c r="P645">
        <v>0</v>
      </c>
      <c r="R645" t="s">
        <v>40</v>
      </c>
      <c r="S645" t="s">
        <v>64</v>
      </c>
      <c r="T645" t="s">
        <v>317</v>
      </c>
    </row>
    <row r="646" spans="1:20" x14ac:dyDescent="0.25">
      <c r="A646">
        <v>45</v>
      </c>
      <c r="B646" t="str">
        <f>HYPERLINK("https://imapinvasives.natureserve.org/imap/services/page/Presence/493675.html", "View")</f>
        <v>View</v>
      </c>
      <c r="C646">
        <v>493675</v>
      </c>
      <c r="D646">
        <v>493675</v>
      </c>
      <c r="E646" t="str">
        <f>HYPERLINK("http://imap3images.s3-website-us-east-1.amazonaws.com/493675/p/photourl1_2016_07_25_julgrinstead_x8ju2syc.jpg", "View")</f>
        <v>View</v>
      </c>
      <c r="F646" t="s">
        <v>191</v>
      </c>
      <c r="G646" t="s">
        <v>192</v>
      </c>
      <c r="H646">
        <v>78882</v>
      </c>
      <c r="I646" t="str">
        <f>HYPERLINK("https://www.inaturalist.org/taxa/78882-Rosa-multiflora", "View")</f>
        <v>View</v>
      </c>
      <c r="J646" t="s">
        <v>191</v>
      </c>
      <c r="K646" t="s">
        <v>193</v>
      </c>
      <c r="L646">
        <v>78882</v>
      </c>
      <c r="M646">
        <v>41.85</v>
      </c>
      <c r="N646">
        <v>92.74</v>
      </c>
      <c r="P646">
        <v>1</v>
      </c>
      <c r="R646" t="s">
        <v>23</v>
      </c>
      <c r="S646" t="s">
        <v>34</v>
      </c>
      <c r="T646" t="s">
        <v>317</v>
      </c>
    </row>
    <row r="647" spans="1:20" x14ac:dyDescent="0.25">
      <c r="A647">
        <v>46</v>
      </c>
      <c r="B647" t="str">
        <f>HYPERLINK("https://imapinvasives.natureserve.org/imap/services/page/Presence/1339804.html", "View")</f>
        <v>View</v>
      </c>
      <c r="C647">
        <v>1339804</v>
      </c>
      <c r="D647">
        <v>1354837</v>
      </c>
      <c r="E647" t="str">
        <f>HYPERLINK("http://imap3images.s3-website-us-east-1.amazonaws.com/1354837/p/Photo_1.jpg", "View")</f>
        <v>View</v>
      </c>
      <c r="F647" t="s">
        <v>191</v>
      </c>
      <c r="G647" t="s">
        <v>192</v>
      </c>
      <c r="H647">
        <v>78882</v>
      </c>
      <c r="I647" t="str">
        <f>HYPERLINK("https://www.inaturalist.org/taxa/78882-Rosa-multiflora", "View")</f>
        <v>View</v>
      </c>
      <c r="J647" t="s">
        <v>191</v>
      </c>
      <c r="K647" t="s">
        <v>193</v>
      </c>
      <c r="L647">
        <v>78882</v>
      </c>
      <c r="M647">
        <v>36.74</v>
      </c>
      <c r="N647">
        <v>92.58</v>
      </c>
      <c r="P647">
        <v>1</v>
      </c>
      <c r="R647" t="s">
        <v>23</v>
      </c>
      <c r="S647" t="s">
        <v>24</v>
      </c>
      <c r="T647" t="s">
        <v>316</v>
      </c>
    </row>
    <row r="648" spans="1:20" x14ac:dyDescent="0.25">
      <c r="A648">
        <v>47</v>
      </c>
      <c r="B648" t="str">
        <f>HYPERLINK("https://imapinvasives.natureserve.org/imap/services/page/Presence/421767.html", "View")</f>
        <v>View</v>
      </c>
      <c r="C648">
        <v>421767</v>
      </c>
      <c r="D648">
        <v>421767</v>
      </c>
      <c r="E648" t="str">
        <f>HYPERLINK("http://imap3images.s3-website-us-east-1.amazonaws.com/421767/p/photourl1_2014_11_05_caswolfanger_iyir1l4y.jpg", "View")</f>
        <v>View</v>
      </c>
      <c r="F648" t="s">
        <v>191</v>
      </c>
      <c r="G648" t="s">
        <v>192</v>
      </c>
      <c r="H648">
        <v>78882</v>
      </c>
      <c r="I648" t="str">
        <f>HYPERLINK("https://www.inaturalist.org/taxa/78882-Rosa-multiflora", "View")</f>
        <v>View</v>
      </c>
      <c r="J648" t="s">
        <v>191</v>
      </c>
      <c r="K648" t="s">
        <v>193</v>
      </c>
      <c r="L648">
        <v>78882</v>
      </c>
      <c r="M648">
        <v>46.84</v>
      </c>
      <c r="N648">
        <v>98.86</v>
      </c>
      <c r="P648">
        <v>1</v>
      </c>
      <c r="R648" t="s">
        <v>23</v>
      </c>
      <c r="S648" t="s">
        <v>24</v>
      </c>
      <c r="T648" t="s">
        <v>316</v>
      </c>
    </row>
    <row r="649" spans="1:20" x14ac:dyDescent="0.25">
      <c r="A649">
        <v>48</v>
      </c>
      <c r="B649" t="str">
        <f>HYPERLINK("https://imapinvasives.natureserve.org/imap/services/page/Presence/496775.html", "View")</f>
        <v>View</v>
      </c>
      <c r="C649">
        <v>496775</v>
      </c>
      <c r="D649">
        <v>496775</v>
      </c>
      <c r="E649" t="str">
        <f>HYPERLINK("http://imap3images.s3-website-us-east-1.amazonaws.com/496775/p/photourl1_2016_10_22_julgrinstead_pvs0trt6.jpg", "View")</f>
        <v>View</v>
      </c>
      <c r="F649" t="s">
        <v>191</v>
      </c>
      <c r="G649" t="s">
        <v>192</v>
      </c>
      <c r="H649">
        <v>78882</v>
      </c>
      <c r="I649" t="str">
        <f>HYPERLINK("https://www.inaturalist.org/taxa/78882-Rosa-multiflora", "View")</f>
        <v>View</v>
      </c>
      <c r="J649" t="s">
        <v>191</v>
      </c>
      <c r="K649" t="s">
        <v>193</v>
      </c>
      <c r="L649">
        <v>78882</v>
      </c>
      <c r="M649">
        <v>41.85</v>
      </c>
      <c r="N649">
        <v>34.28</v>
      </c>
      <c r="P649">
        <v>1</v>
      </c>
      <c r="R649" t="s">
        <v>23</v>
      </c>
      <c r="S649" t="s">
        <v>24</v>
      </c>
      <c r="T649" t="s">
        <v>316</v>
      </c>
    </row>
    <row r="650" spans="1:20" x14ac:dyDescent="0.25">
      <c r="A650">
        <v>49</v>
      </c>
      <c r="B650" t="str">
        <f>HYPERLINK("https://imapinvasives.natureserve.org/imap/services/page/Presence/420821.html", "View")</f>
        <v>View</v>
      </c>
      <c r="C650">
        <v>420821</v>
      </c>
      <c r="D650">
        <v>420821</v>
      </c>
      <c r="E650" t="str">
        <f>HYPERLINK("http://imap3images.s3-website-us-east-1.amazonaws.com/420821/p/photourl1_2014_09_28_jambeach_72v4yhx6.jpg", "View")</f>
        <v>View</v>
      </c>
      <c r="F650" t="s">
        <v>191</v>
      </c>
      <c r="G650" t="s">
        <v>192</v>
      </c>
      <c r="H650">
        <v>78882</v>
      </c>
      <c r="I650" t="str">
        <f>HYPERLINK("https://www.inaturalist.org/taxa/78882-Rosa-multiflora", "View")</f>
        <v>View</v>
      </c>
      <c r="J650" t="s">
        <v>191</v>
      </c>
      <c r="K650" t="s">
        <v>193</v>
      </c>
      <c r="L650">
        <v>78882</v>
      </c>
      <c r="M650">
        <v>42.76</v>
      </c>
      <c r="N650">
        <v>96.28</v>
      </c>
      <c r="P650">
        <v>1</v>
      </c>
      <c r="R650" t="s">
        <v>23</v>
      </c>
      <c r="S650" t="s">
        <v>24</v>
      </c>
      <c r="T650" t="s">
        <v>316</v>
      </c>
    </row>
    <row r="651" spans="1:20" x14ac:dyDescent="0.25">
      <c r="A651">
        <v>50</v>
      </c>
      <c r="B651" t="str">
        <f>HYPERLINK("https://imapinvasives.natureserve.org/imap/services/page/Presence/525464.html", "View")</f>
        <v>View</v>
      </c>
      <c r="C651">
        <v>525464</v>
      </c>
      <c r="D651">
        <v>525464</v>
      </c>
      <c r="E651" t="str">
        <f>HYPERLINK("http://imap3images.s3-website-us-east-1.amazonaws.com/525464/p/photourl1_2018_05_11_krigilbert_nqd7lh5i.jpg", "View")</f>
        <v>View</v>
      </c>
      <c r="F651" t="s">
        <v>191</v>
      </c>
      <c r="G651" t="s">
        <v>192</v>
      </c>
      <c r="H651">
        <v>78882</v>
      </c>
      <c r="I651" t="str">
        <f>HYPERLINK("https://www.inaturalist.org/taxa/67524-Polemonium-reptans", "View")</f>
        <v>View</v>
      </c>
      <c r="J651" t="s">
        <v>203</v>
      </c>
      <c r="K651" t="s">
        <v>204</v>
      </c>
      <c r="L651">
        <v>67524</v>
      </c>
      <c r="M651">
        <v>3.47</v>
      </c>
      <c r="N651">
        <v>15.22</v>
      </c>
      <c r="P651">
        <v>0</v>
      </c>
      <c r="R651" t="s">
        <v>29</v>
      </c>
      <c r="S651" t="s">
        <v>33</v>
      </c>
      <c r="T651" t="s">
        <v>317</v>
      </c>
    </row>
    <row r="652" spans="1:20" x14ac:dyDescent="0.25">
      <c r="A652">
        <v>51</v>
      </c>
      <c r="B652" t="str">
        <f>HYPERLINK("https://imapinvasives.natureserve.org/imap/services/page/Presence/1342209.html", "View")</f>
        <v>View</v>
      </c>
      <c r="C652">
        <v>1342209</v>
      </c>
      <c r="D652">
        <v>1357648</v>
      </c>
      <c r="E652" t="str">
        <f>HYPERLINK("http://imap3images.s3-website-us-east-1.amazonaws.com/1357648/p/Photo_2.jpg", "View")</f>
        <v>View</v>
      </c>
      <c r="F652" t="s">
        <v>191</v>
      </c>
      <c r="G652" t="s">
        <v>192</v>
      </c>
      <c r="H652">
        <v>78882</v>
      </c>
      <c r="I652" t="str">
        <f>HYPERLINK("https://www.inaturalist.org/taxa/78882-Rosa-multiflora", "View")</f>
        <v>View</v>
      </c>
      <c r="J652" t="s">
        <v>191</v>
      </c>
      <c r="K652" t="s">
        <v>193</v>
      </c>
      <c r="L652">
        <v>78882</v>
      </c>
      <c r="M652">
        <v>21.68</v>
      </c>
      <c r="N652">
        <v>81.94</v>
      </c>
      <c r="P652">
        <v>1</v>
      </c>
      <c r="R652" t="s">
        <v>23</v>
      </c>
      <c r="S652" t="s">
        <v>24</v>
      </c>
      <c r="T652" t="s">
        <v>316</v>
      </c>
    </row>
    <row r="653" spans="1:20" x14ac:dyDescent="0.25">
      <c r="A653">
        <v>52</v>
      </c>
      <c r="B653" t="str">
        <f>HYPERLINK("https://imapinvasives.natureserve.org/imap/services/page/Presence/1145541.html", "View")</f>
        <v>View</v>
      </c>
      <c r="C653">
        <v>1145541</v>
      </c>
      <c r="D653">
        <v>1152073</v>
      </c>
      <c r="E653" t="str">
        <f>HYPERLINK("http://imap3images.s3-website-us-east-1.amazonaws.com/1152073/p/imap_app_photo_1623435338947.jpg", "View")</f>
        <v>View</v>
      </c>
      <c r="F653" t="s">
        <v>191</v>
      </c>
      <c r="G653" t="s">
        <v>192</v>
      </c>
      <c r="H653">
        <v>78882</v>
      </c>
      <c r="I653" t="str">
        <f>HYPERLINK("https://www.inaturalist.org/taxa/78882-Rosa-multiflora", "View")</f>
        <v>View</v>
      </c>
      <c r="J653" t="s">
        <v>191</v>
      </c>
      <c r="K653" t="s">
        <v>193</v>
      </c>
      <c r="L653">
        <v>78882</v>
      </c>
      <c r="M653">
        <v>31.95</v>
      </c>
      <c r="N653">
        <v>94.58</v>
      </c>
      <c r="P653">
        <v>1</v>
      </c>
      <c r="R653" t="s">
        <v>23</v>
      </c>
      <c r="S653" t="s">
        <v>24</v>
      </c>
      <c r="T653" t="s">
        <v>316</v>
      </c>
    </row>
    <row r="654" spans="1:20" x14ac:dyDescent="0.25">
      <c r="A654">
        <v>53</v>
      </c>
      <c r="B654" t="str">
        <f>HYPERLINK("https://imapinvasives.natureserve.org/imap/services/page/Presence/1062420.html", "View")</f>
        <v>View</v>
      </c>
      <c r="C654">
        <v>1062420</v>
      </c>
      <c r="D654">
        <v>1067079</v>
      </c>
      <c r="E654" t="str">
        <f>HYPERLINK("http://imap3images.s3-website-us-east-1.amazonaws.com/1067079/p/attachment2.jpg", "View")</f>
        <v>View</v>
      </c>
      <c r="F654" t="s">
        <v>191</v>
      </c>
      <c r="G654" t="s">
        <v>192</v>
      </c>
      <c r="H654">
        <v>78882</v>
      </c>
      <c r="I654" t="str">
        <f>HYPERLINK("https://www.inaturalist.org/taxa/58727-Berberis-thunbergii", "View")</f>
        <v>View</v>
      </c>
      <c r="J654" t="s">
        <v>113</v>
      </c>
      <c r="K654" t="s">
        <v>114</v>
      </c>
      <c r="L654">
        <v>58727</v>
      </c>
      <c r="M654">
        <v>26.68</v>
      </c>
      <c r="N654">
        <v>64.25</v>
      </c>
      <c r="P654">
        <v>0</v>
      </c>
      <c r="R654" t="s">
        <v>29</v>
      </c>
      <c r="S654" t="s">
        <v>33</v>
      </c>
      <c r="T654" t="s">
        <v>317</v>
      </c>
    </row>
    <row r="655" spans="1:20" x14ac:dyDescent="0.25">
      <c r="A655">
        <v>54</v>
      </c>
      <c r="B655" t="str">
        <f>HYPERLINK("https://imapinvasives.natureserve.org/imap/services/page/Presence/1273668.html", "View")</f>
        <v>View</v>
      </c>
      <c r="C655">
        <v>1273668</v>
      </c>
      <c r="D655">
        <v>1282859</v>
      </c>
      <c r="E655" t="str">
        <f>HYPERLINK("http://imap3images.s3-website-us-east-1.amazonaws.com/1282859/p/imap_app_photo_1654557774506.jpg", "View")</f>
        <v>View</v>
      </c>
      <c r="F655" t="s">
        <v>191</v>
      </c>
      <c r="G655" t="s">
        <v>192</v>
      </c>
      <c r="H655">
        <v>78882</v>
      </c>
      <c r="I655" t="str">
        <f t="shared" ref="I655:I663" si="29">HYPERLINK("https://www.inaturalist.org/taxa/78882-Rosa-multiflora", "View")</f>
        <v>View</v>
      </c>
      <c r="J655" t="s">
        <v>191</v>
      </c>
      <c r="K655" t="s">
        <v>193</v>
      </c>
      <c r="L655">
        <v>78882</v>
      </c>
      <c r="M655">
        <v>47.3</v>
      </c>
      <c r="N655">
        <v>99.46</v>
      </c>
      <c r="P655">
        <v>1</v>
      </c>
      <c r="R655" t="s">
        <v>23</v>
      </c>
      <c r="S655" t="s">
        <v>24</v>
      </c>
      <c r="T655" t="s">
        <v>316</v>
      </c>
    </row>
    <row r="656" spans="1:20" x14ac:dyDescent="0.25">
      <c r="A656">
        <v>55</v>
      </c>
      <c r="B656" t="str">
        <f>HYPERLINK("https://imapinvasives.natureserve.org/imap/services/page/Presence/1343213.html", "View")</f>
        <v>View</v>
      </c>
      <c r="C656">
        <v>1343213</v>
      </c>
      <c r="D656">
        <v>1358759</v>
      </c>
      <c r="E656" t="str">
        <f>HYPERLINK("http://imap3images.s3-website-us-east-1.amazonaws.com/1358759/p/Photo_2.jpg", "View")</f>
        <v>View</v>
      </c>
      <c r="F656" t="s">
        <v>191</v>
      </c>
      <c r="G656" t="s">
        <v>192</v>
      </c>
      <c r="H656">
        <v>78882</v>
      </c>
      <c r="I656" t="str">
        <f t="shared" si="29"/>
        <v>View</v>
      </c>
      <c r="J656" t="s">
        <v>191</v>
      </c>
      <c r="K656" t="s">
        <v>193</v>
      </c>
      <c r="L656">
        <v>78882</v>
      </c>
      <c r="M656">
        <v>21.68</v>
      </c>
      <c r="N656">
        <v>51.57</v>
      </c>
      <c r="P656">
        <v>1</v>
      </c>
      <c r="R656" t="s">
        <v>23</v>
      </c>
      <c r="S656" t="s">
        <v>34</v>
      </c>
      <c r="T656" t="s">
        <v>317</v>
      </c>
    </row>
    <row r="657" spans="1:20" x14ac:dyDescent="0.25">
      <c r="A657">
        <v>56</v>
      </c>
      <c r="B657" t="str">
        <f>HYPERLINK("https://imapinvasives.natureserve.org/imap/services/page/Presence/1297301.html", "View")</f>
        <v>View</v>
      </c>
      <c r="C657">
        <v>1297301</v>
      </c>
      <c r="D657">
        <v>1307535</v>
      </c>
      <c r="E657" t="str">
        <f>HYPERLINK("http://imap3images.s3-website-us-east-1.amazonaws.com/1307535/p/imap_app_photo_1664048959674.jpg", "View")</f>
        <v>View</v>
      </c>
      <c r="F657" t="s">
        <v>191</v>
      </c>
      <c r="G657" t="s">
        <v>192</v>
      </c>
      <c r="H657">
        <v>78882</v>
      </c>
      <c r="I657" t="str">
        <f t="shared" si="29"/>
        <v>View</v>
      </c>
      <c r="J657" t="s">
        <v>191</v>
      </c>
      <c r="K657" t="s">
        <v>193</v>
      </c>
      <c r="L657">
        <v>78882</v>
      </c>
      <c r="M657">
        <v>64.77</v>
      </c>
      <c r="N657">
        <v>20.28</v>
      </c>
      <c r="P657">
        <v>1</v>
      </c>
      <c r="R657" t="s">
        <v>23</v>
      </c>
      <c r="S657" t="s">
        <v>64</v>
      </c>
      <c r="T657" t="s">
        <v>317</v>
      </c>
    </row>
    <row r="658" spans="1:20" x14ac:dyDescent="0.25">
      <c r="A658">
        <v>57</v>
      </c>
      <c r="B658" t="str">
        <f>HYPERLINK("https://imapinvasives.natureserve.org/imap/services/page/Presence/1152553.html", "View")</f>
        <v>View</v>
      </c>
      <c r="C658">
        <v>1152553</v>
      </c>
      <c r="D658">
        <v>1159498</v>
      </c>
      <c r="E658" t="str">
        <f>HYPERLINK("http://imap3images.s3-website-us-east-1.amazonaws.com/1159498/p/imap_app_photo_1627224995182.jpg", "View")</f>
        <v>View</v>
      </c>
      <c r="F658" t="s">
        <v>191</v>
      </c>
      <c r="G658" t="s">
        <v>192</v>
      </c>
      <c r="H658">
        <v>78882</v>
      </c>
      <c r="I658" t="str">
        <f t="shared" si="29"/>
        <v>View</v>
      </c>
      <c r="J658" t="s">
        <v>191</v>
      </c>
      <c r="K658" t="s">
        <v>193</v>
      </c>
      <c r="L658">
        <v>78882</v>
      </c>
      <c r="M658">
        <v>41.85</v>
      </c>
      <c r="N658">
        <v>88.49</v>
      </c>
      <c r="P658">
        <v>1</v>
      </c>
      <c r="R658" t="s">
        <v>23</v>
      </c>
      <c r="S658" t="s">
        <v>24</v>
      </c>
      <c r="T658" t="s">
        <v>316</v>
      </c>
    </row>
    <row r="659" spans="1:20" x14ac:dyDescent="0.25">
      <c r="A659">
        <v>58</v>
      </c>
      <c r="B659" t="str">
        <f>HYPERLINK("https://imapinvasives.natureserve.org/imap/services/page/Presence/1013481.html", "View")</f>
        <v>View</v>
      </c>
      <c r="C659">
        <v>1013481</v>
      </c>
      <c r="D659">
        <v>1013644</v>
      </c>
      <c r="E659" t="str">
        <f>HYPERLINK("http://imap3images.s3-website-us-east-1.amazonaws.com/1013644/p/imap_app_photo_1557429485794.jpg", "View")</f>
        <v>View</v>
      </c>
      <c r="F659" t="s">
        <v>191</v>
      </c>
      <c r="G659" t="s">
        <v>192</v>
      </c>
      <c r="H659">
        <v>78882</v>
      </c>
      <c r="I659" t="str">
        <f t="shared" si="29"/>
        <v>View</v>
      </c>
      <c r="J659" t="s">
        <v>191</v>
      </c>
      <c r="K659" t="s">
        <v>193</v>
      </c>
      <c r="L659">
        <v>78882</v>
      </c>
      <c r="M659">
        <v>72.7</v>
      </c>
      <c r="N659">
        <v>41.54</v>
      </c>
      <c r="P659">
        <v>1</v>
      </c>
      <c r="R659" t="s">
        <v>23</v>
      </c>
      <c r="S659" t="s">
        <v>33</v>
      </c>
      <c r="T659" t="s">
        <v>317</v>
      </c>
    </row>
    <row r="660" spans="1:20" x14ac:dyDescent="0.25">
      <c r="A660">
        <v>59</v>
      </c>
      <c r="B660" t="str">
        <f>HYPERLINK("https://imapinvasives.natureserve.org/imap/services/page/Presence/418856.html", "View")</f>
        <v>View</v>
      </c>
      <c r="C660">
        <v>418856</v>
      </c>
      <c r="D660">
        <v>418856</v>
      </c>
      <c r="E660" t="str">
        <f>HYPERLINK("http://imap3images.s3-website-us-east-1.amazonaws.com/418856/p/photourl1_2014_08_07_andstadler_qozv2wvq.jpg", "View")</f>
        <v>View</v>
      </c>
      <c r="F660" t="s">
        <v>191</v>
      </c>
      <c r="G660" t="s">
        <v>192</v>
      </c>
      <c r="H660">
        <v>78882</v>
      </c>
      <c r="I660" t="str">
        <f t="shared" si="29"/>
        <v>View</v>
      </c>
      <c r="J660" t="s">
        <v>191</v>
      </c>
      <c r="K660" t="s">
        <v>193</v>
      </c>
      <c r="L660">
        <v>78882</v>
      </c>
      <c r="M660">
        <v>48.64</v>
      </c>
      <c r="N660">
        <v>77.569999999999993</v>
      </c>
      <c r="P660">
        <v>1</v>
      </c>
      <c r="R660" t="s">
        <v>23</v>
      </c>
      <c r="S660" t="s">
        <v>24</v>
      </c>
      <c r="T660" t="s">
        <v>316</v>
      </c>
    </row>
    <row r="661" spans="1:20" x14ac:dyDescent="0.25">
      <c r="A661">
        <v>60</v>
      </c>
      <c r="B661" t="str">
        <f>HYPERLINK("https://imapinvasives.natureserve.org/imap/services/page/Presence/1435895.html", "View")</f>
        <v>View</v>
      </c>
      <c r="C661">
        <v>1435895</v>
      </c>
      <c r="D661">
        <v>1449647</v>
      </c>
      <c r="E661" t="str">
        <f>HYPERLINK("http://imap3images.s3-website-us-east-1.amazonaws.com/1449647/p/Photo_1.jpg", "View")</f>
        <v>View</v>
      </c>
      <c r="F661" t="s">
        <v>191</v>
      </c>
      <c r="G661" t="s">
        <v>192</v>
      </c>
      <c r="H661">
        <v>78882</v>
      </c>
      <c r="I661" t="str">
        <f t="shared" si="29"/>
        <v>View</v>
      </c>
      <c r="J661" t="s">
        <v>191</v>
      </c>
      <c r="K661" t="s">
        <v>193</v>
      </c>
      <c r="L661">
        <v>78882</v>
      </c>
      <c r="M661">
        <v>72.7</v>
      </c>
      <c r="N661">
        <v>93.01</v>
      </c>
      <c r="P661">
        <v>1</v>
      </c>
      <c r="R661" t="s">
        <v>23</v>
      </c>
      <c r="S661" t="s">
        <v>24</v>
      </c>
      <c r="T661" t="s">
        <v>316</v>
      </c>
    </row>
    <row r="662" spans="1:20" x14ac:dyDescent="0.25">
      <c r="A662">
        <v>61</v>
      </c>
      <c r="B662" t="str">
        <f>HYPERLINK("https://imapinvasives.natureserve.org/imap/services/page/Presence/527667.html", "View")</f>
        <v>View</v>
      </c>
      <c r="C662">
        <v>527667</v>
      </c>
      <c r="D662">
        <v>527667</v>
      </c>
      <c r="E662" t="str">
        <f>HYPERLINK("http://imap3images.s3-website-us-east-1.amazonaws.com/527667/p/photourl2_2018_06_28_julkostin_s3a7n08x.jpg", "View")</f>
        <v>View</v>
      </c>
      <c r="F662" t="s">
        <v>191</v>
      </c>
      <c r="G662" t="s">
        <v>192</v>
      </c>
      <c r="H662">
        <v>78882</v>
      </c>
      <c r="I662" t="str">
        <f t="shared" si="29"/>
        <v>View</v>
      </c>
      <c r="J662" t="s">
        <v>191</v>
      </c>
      <c r="K662" t="s">
        <v>193</v>
      </c>
      <c r="L662">
        <v>78882</v>
      </c>
      <c r="M662">
        <v>43.99</v>
      </c>
      <c r="N662">
        <v>25.76</v>
      </c>
      <c r="P662">
        <v>1</v>
      </c>
      <c r="R662" t="s">
        <v>23</v>
      </c>
      <c r="S662" t="s">
        <v>79</v>
      </c>
      <c r="T662" t="s">
        <v>317</v>
      </c>
    </row>
    <row r="663" spans="1:20" x14ac:dyDescent="0.25">
      <c r="A663">
        <v>62</v>
      </c>
      <c r="B663" t="str">
        <f>HYPERLINK("https://imapinvasives.natureserve.org/imap/services/page/Presence/1051502.html", "View")</f>
        <v>View</v>
      </c>
      <c r="C663">
        <v>1051502</v>
      </c>
      <c r="D663">
        <v>1055576</v>
      </c>
      <c r="E663" t="str">
        <f>HYPERLINK("http://imap3images.s3-website-us-east-1.amazonaws.com/1055576/p/attachment1.jpg", "View")</f>
        <v>View</v>
      </c>
      <c r="F663" t="s">
        <v>191</v>
      </c>
      <c r="G663" t="s">
        <v>192</v>
      </c>
      <c r="H663">
        <v>78882</v>
      </c>
      <c r="I663" t="str">
        <f t="shared" si="29"/>
        <v>View</v>
      </c>
      <c r="J663" t="s">
        <v>191</v>
      </c>
      <c r="K663" t="s">
        <v>193</v>
      </c>
      <c r="L663">
        <v>78882</v>
      </c>
      <c r="M663">
        <v>43.99</v>
      </c>
      <c r="N663">
        <v>38.299999999999997</v>
      </c>
      <c r="P663">
        <v>1</v>
      </c>
      <c r="R663" t="s">
        <v>23</v>
      </c>
      <c r="S663" t="s">
        <v>24</v>
      </c>
      <c r="T663" t="s">
        <v>316</v>
      </c>
    </row>
    <row r="664" spans="1:20" x14ac:dyDescent="0.25">
      <c r="A664">
        <v>63</v>
      </c>
      <c r="B664" t="str">
        <f>HYPERLINK("https://imapinvasives.natureserve.org/imap/services/page/Presence/1068069.html", "View")</f>
        <v>View</v>
      </c>
      <c r="C664">
        <v>1068069</v>
      </c>
      <c r="D664">
        <v>1072844</v>
      </c>
      <c r="E664" t="str">
        <f>HYPERLINK("http://imap3images.s3-website-us-east-1.amazonaws.com/1072844/p/attachment3.jpg", "View")</f>
        <v>View</v>
      </c>
      <c r="F664" t="s">
        <v>191</v>
      </c>
      <c r="G664" t="s">
        <v>192</v>
      </c>
      <c r="H664">
        <v>78882</v>
      </c>
      <c r="I664" t="str">
        <f>HYPERLINK("https://www.inaturalist.org/taxa/58727-Berberis-thunbergii", "View")</f>
        <v>View</v>
      </c>
      <c r="J664" t="s">
        <v>113</v>
      </c>
      <c r="K664" t="s">
        <v>114</v>
      </c>
      <c r="L664">
        <v>58727</v>
      </c>
      <c r="M664">
        <v>26.68</v>
      </c>
      <c r="N664">
        <v>12.17</v>
      </c>
      <c r="P664">
        <v>0</v>
      </c>
      <c r="R664" t="s">
        <v>29</v>
      </c>
      <c r="S664" t="s">
        <v>28</v>
      </c>
      <c r="T664" t="s">
        <v>317</v>
      </c>
    </row>
    <row r="665" spans="1:20" x14ac:dyDescent="0.25">
      <c r="A665">
        <v>64</v>
      </c>
      <c r="B665" t="str">
        <f>HYPERLINK("https://imapinvasives.natureserve.org/imap/services/page/Presence/1031041.html", "View")</f>
        <v>View</v>
      </c>
      <c r="C665">
        <v>1031041</v>
      </c>
      <c r="D665">
        <v>1032472</v>
      </c>
      <c r="E665" t="str">
        <f>HYPERLINK("http://imap3images.s3-website-us-east-1.amazonaws.com/1032472/p/imap_app_photo_1568198260232.jpg", "View")</f>
        <v>View</v>
      </c>
      <c r="F665" t="s">
        <v>191</v>
      </c>
      <c r="G665" t="s">
        <v>192</v>
      </c>
      <c r="H665">
        <v>78882</v>
      </c>
      <c r="I665" t="str">
        <f t="shared" ref="I665:I672" si="30">HYPERLINK("https://www.inaturalist.org/taxa/78882-Rosa-multiflora", "View")</f>
        <v>View</v>
      </c>
      <c r="J665" t="s">
        <v>191</v>
      </c>
      <c r="K665" t="s">
        <v>193</v>
      </c>
      <c r="L665">
        <v>78882</v>
      </c>
      <c r="M665">
        <v>47.3</v>
      </c>
      <c r="N665">
        <v>75.650000000000006</v>
      </c>
      <c r="P665">
        <v>1</v>
      </c>
      <c r="R665" t="s">
        <v>23</v>
      </c>
      <c r="S665" t="s">
        <v>79</v>
      </c>
      <c r="T665" t="s">
        <v>317</v>
      </c>
    </row>
    <row r="666" spans="1:20" x14ac:dyDescent="0.25">
      <c r="A666">
        <v>65</v>
      </c>
      <c r="B666" t="str">
        <f>HYPERLINK("https://imapinvasives.natureserve.org/imap/services/page/Presence/475644.html", "View")</f>
        <v>View</v>
      </c>
      <c r="C666">
        <v>475644</v>
      </c>
      <c r="D666">
        <v>475644</v>
      </c>
      <c r="E666" t="str">
        <f>HYPERLINK("http://imap3images.s3-website-us-east-1.amazonaws.com/475644/p/photourl1_2016_03_21_chebeach_74qqo224.jpg", "View")</f>
        <v>View</v>
      </c>
      <c r="F666" t="s">
        <v>191</v>
      </c>
      <c r="G666" t="s">
        <v>192</v>
      </c>
      <c r="H666">
        <v>78882</v>
      </c>
      <c r="I666" t="str">
        <f t="shared" si="30"/>
        <v>View</v>
      </c>
      <c r="J666" t="s">
        <v>191</v>
      </c>
      <c r="K666" t="s">
        <v>193</v>
      </c>
      <c r="L666">
        <v>78882</v>
      </c>
      <c r="M666">
        <v>37.840000000000003</v>
      </c>
      <c r="N666">
        <v>98.81</v>
      </c>
      <c r="P666">
        <v>1</v>
      </c>
      <c r="R666" t="s">
        <v>23</v>
      </c>
      <c r="S666" t="s">
        <v>24</v>
      </c>
      <c r="T666" t="s">
        <v>316</v>
      </c>
    </row>
    <row r="667" spans="1:20" x14ac:dyDescent="0.25">
      <c r="A667">
        <v>66</v>
      </c>
      <c r="B667" t="str">
        <f>HYPERLINK("https://imapinvasives.natureserve.org/imap/services/page/Presence/1349822.html", "View")</f>
        <v>View</v>
      </c>
      <c r="C667">
        <v>1349822</v>
      </c>
      <c r="D667">
        <v>1366780</v>
      </c>
      <c r="E667" t="str">
        <f>HYPERLINK("http://imap3images.s3-website-us-east-1.amazonaws.com/1366780/p/Photo_1.jpg", "View")</f>
        <v>View</v>
      </c>
      <c r="F667" t="s">
        <v>191</v>
      </c>
      <c r="G667" t="s">
        <v>192</v>
      </c>
      <c r="H667">
        <v>78882</v>
      </c>
      <c r="I667" t="str">
        <f t="shared" si="30"/>
        <v>View</v>
      </c>
      <c r="J667" t="s">
        <v>191</v>
      </c>
      <c r="K667" t="s">
        <v>193</v>
      </c>
      <c r="L667">
        <v>78882</v>
      </c>
      <c r="M667">
        <v>13.71</v>
      </c>
      <c r="N667">
        <v>95.77</v>
      </c>
      <c r="P667">
        <v>1</v>
      </c>
      <c r="R667" t="s">
        <v>23</v>
      </c>
      <c r="S667" t="s">
        <v>24</v>
      </c>
      <c r="T667" t="s">
        <v>316</v>
      </c>
    </row>
    <row r="668" spans="1:20" x14ac:dyDescent="0.25">
      <c r="A668">
        <v>67</v>
      </c>
      <c r="B668" t="str">
        <f>HYPERLINK("https://imapinvasives.natureserve.org/imap/services/page/Presence/1118243.html", "View")</f>
        <v>View</v>
      </c>
      <c r="C668">
        <v>1118243</v>
      </c>
      <c r="D668">
        <v>1124349</v>
      </c>
      <c r="E668" t="str">
        <f>HYPERLINK("http://imap3images.s3-website-us-east-1.amazonaws.com/1124349/p/Photo_1.jpg", "View")</f>
        <v>View</v>
      </c>
      <c r="F668" t="s">
        <v>191</v>
      </c>
      <c r="G668" t="s">
        <v>192</v>
      </c>
      <c r="H668">
        <v>78882</v>
      </c>
      <c r="I668" t="str">
        <f t="shared" si="30"/>
        <v>View</v>
      </c>
      <c r="J668" t="s">
        <v>191</v>
      </c>
      <c r="K668" t="s">
        <v>193</v>
      </c>
      <c r="L668">
        <v>78882</v>
      </c>
      <c r="M668">
        <v>89.2</v>
      </c>
      <c r="N668">
        <v>35.42</v>
      </c>
      <c r="P668">
        <v>1</v>
      </c>
      <c r="R668" t="s">
        <v>23</v>
      </c>
      <c r="S668" t="s">
        <v>39</v>
      </c>
      <c r="T668" t="s">
        <v>317</v>
      </c>
    </row>
    <row r="669" spans="1:20" x14ac:dyDescent="0.25">
      <c r="A669">
        <v>68</v>
      </c>
      <c r="B669" t="str">
        <f>HYPERLINK("https://imapinvasives.natureserve.org/imap/services/page/Presence/1374996.html", "View")</f>
        <v>View</v>
      </c>
      <c r="C669">
        <v>1374996</v>
      </c>
      <c r="D669">
        <v>1393066</v>
      </c>
      <c r="E669" t="str">
        <f>HYPERLINK("http://imap3images.s3-website-us-east-1.amazonaws.com/1393066/p/Photo_1.jpg", "View")</f>
        <v>View</v>
      </c>
      <c r="F669" t="s">
        <v>191</v>
      </c>
      <c r="G669" t="s">
        <v>192</v>
      </c>
      <c r="H669">
        <v>78882</v>
      </c>
      <c r="I669" t="str">
        <f t="shared" si="30"/>
        <v>View</v>
      </c>
      <c r="J669" t="s">
        <v>191</v>
      </c>
      <c r="K669" t="s">
        <v>193</v>
      </c>
      <c r="L669">
        <v>78882</v>
      </c>
      <c r="M669">
        <v>31.95</v>
      </c>
      <c r="N669">
        <v>96.24</v>
      </c>
      <c r="P669">
        <v>1</v>
      </c>
      <c r="R669" t="s">
        <v>23</v>
      </c>
      <c r="S669" t="s">
        <v>24</v>
      </c>
      <c r="T669" t="s">
        <v>316</v>
      </c>
    </row>
    <row r="670" spans="1:20" x14ac:dyDescent="0.25">
      <c r="A670">
        <v>69</v>
      </c>
      <c r="B670" t="str">
        <f>HYPERLINK("https://imapinvasives.natureserve.org/imap/services/page/Presence/527828.html", "View")</f>
        <v>View</v>
      </c>
      <c r="C670">
        <v>527828</v>
      </c>
      <c r="D670">
        <v>527828</v>
      </c>
      <c r="E670" t="str">
        <f>HYPERLINK("http://imap3images.s3-website-us-east-1.amazonaws.com/527828/p/photourl1_2018_07_02_josdemarco_8sx18j7z.jpg", "View")</f>
        <v>View</v>
      </c>
      <c r="F670" t="s">
        <v>191</v>
      </c>
      <c r="G670" t="s">
        <v>192</v>
      </c>
      <c r="H670">
        <v>78882</v>
      </c>
      <c r="I670" t="str">
        <f t="shared" si="30"/>
        <v>View</v>
      </c>
      <c r="J670" t="s">
        <v>191</v>
      </c>
      <c r="K670" t="s">
        <v>193</v>
      </c>
      <c r="L670">
        <v>78882</v>
      </c>
      <c r="M670">
        <v>64.77</v>
      </c>
      <c r="N670">
        <v>98.22</v>
      </c>
      <c r="P670">
        <v>1</v>
      </c>
      <c r="R670" t="s">
        <v>23</v>
      </c>
      <c r="S670" t="s">
        <v>24</v>
      </c>
      <c r="T670" t="s">
        <v>316</v>
      </c>
    </row>
    <row r="671" spans="1:20" x14ac:dyDescent="0.25">
      <c r="A671">
        <v>70</v>
      </c>
      <c r="B671" t="str">
        <f>HYPERLINK("https://imapinvasives.natureserve.org/imap/services/page/Presence/528815.html", "View")</f>
        <v>View</v>
      </c>
      <c r="C671">
        <v>528815</v>
      </c>
      <c r="D671">
        <v>528815</v>
      </c>
      <c r="E671" t="str">
        <f>HYPERLINK("http://imap3images.s3-website-us-east-1.amazonaws.com/528815/p/photourl1_2018_06_06_erncoon_b6kbdzud.jpg", "View")</f>
        <v>View</v>
      </c>
      <c r="F671" t="s">
        <v>191</v>
      </c>
      <c r="G671" t="s">
        <v>192</v>
      </c>
      <c r="H671">
        <v>78882</v>
      </c>
      <c r="I671" t="str">
        <f t="shared" si="30"/>
        <v>View</v>
      </c>
      <c r="J671" t="s">
        <v>191</v>
      </c>
      <c r="K671" t="s">
        <v>193</v>
      </c>
      <c r="L671">
        <v>78882</v>
      </c>
      <c r="M671">
        <v>81.12</v>
      </c>
      <c r="N671">
        <v>99.41</v>
      </c>
      <c r="P671">
        <v>1</v>
      </c>
      <c r="R671" t="s">
        <v>23</v>
      </c>
      <c r="S671" t="s">
        <v>24</v>
      </c>
      <c r="T671" t="s">
        <v>316</v>
      </c>
    </row>
    <row r="672" spans="1:20" x14ac:dyDescent="0.25">
      <c r="A672">
        <v>71</v>
      </c>
      <c r="B672" t="str">
        <f>HYPERLINK("https://imapinvasives.natureserve.org/imap/services/page/Presence/1056870.html", "View")</f>
        <v>View</v>
      </c>
      <c r="C672">
        <v>1056870</v>
      </c>
      <c r="D672">
        <v>1061371</v>
      </c>
      <c r="E672" t="str">
        <f>HYPERLINK("http://imap3images.s3-website-us-east-1.amazonaws.com/1061371/p/imap_app_photo_1595023741673.jpg", "View")</f>
        <v>View</v>
      </c>
      <c r="F672" t="s">
        <v>191</v>
      </c>
      <c r="G672" t="s">
        <v>192</v>
      </c>
      <c r="H672">
        <v>78882</v>
      </c>
      <c r="I672" t="str">
        <f t="shared" si="30"/>
        <v>View</v>
      </c>
      <c r="J672" t="s">
        <v>191</v>
      </c>
      <c r="K672" t="s">
        <v>193</v>
      </c>
      <c r="L672">
        <v>78882</v>
      </c>
      <c r="M672">
        <v>37.840000000000003</v>
      </c>
      <c r="N672">
        <v>98.55</v>
      </c>
      <c r="P672">
        <v>1</v>
      </c>
      <c r="R672" t="s">
        <v>23</v>
      </c>
      <c r="S672" t="s">
        <v>24</v>
      </c>
      <c r="T672" t="s">
        <v>316</v>
      </c>
    </row>
    <row r="673" spans="1:20" x14ac:dyDescent="0.25">
      <c r="A673">
        <v>72</v>
      </c>
      <c r="B673" t="str">
        <f>HYPERLINK("https://imapinvasives.natureserve.org/imap/services/page/Presence/420534.html", "View")</f>
        <v>View</v>
      </c>
      <c r="C673">
        <v>420534</v>
      </c>
      <c r="D673">
        <v>420534</v>
      </c>
      <c r="E673" t="str">
        <f>HYPERLINK("http://imap3images.s3-website-us-east-1.amazonaws.com/420534/p/photourl2_2014_09_10_jerkrajna_cq41v7u2.jpg", "View")</f>
        <v>View</v>
      </c>
      <c r="F673" t="s">
        <v>191</v>
      </c>
      <c r="G673" t="s">
        <v>192</v>
      </c>
      <c r="H673">
        <v>78882</v>
      </c>
      <c r="I673" t="str">
        <f>HYPERLINK("https://www.inaturalist.org/taxa/46217-Tamias-striatus", "View")</f>
        <v>View</v>
      </c>
      <c r="J673" t="s">
        <v>99</v>
      </c>
      <c r="K673" t="s">
        <v>100</v>
      </c>
      <c r="L673">
        <v>46217</v>
      </c>
      <c r="M673">
        <v>17.97</v>
      </c>
      <c r="N673">
        <v>3.19</v>
      </c>
      <c r="P673">
        <v>0</v>
      </c>
      <c r="R673" t="s">
        <v>40</v>
      </c>
      <c r="S673" t="s">
        <v>34</v>
      </c>
      <c r="T673" t="s">
        <v>317</v>
      </c>
    </row>
    <row r="674" spans="1:20" x14ac:dyDescent="0.25">
      <c r="A674">
        <v>73</v>
      </c>
      <c r="B674" t="str">
        <f>HYPERLINK("https://imapinvasives.natureserve.org/imap/services/page/Presence/1118017.html", "View")</f>
        <v>View</v>
      </c>
      <c r="C674">
        <v>1118017</v>
      </c>
      <c r="D674">
        <v>1124069</v>
      </c>
      <c r="E674" t="str">
        <f>HYPERLINK("http://imap3images.s3-website-us-east-1.amazonaws.com/1124069/p/attachment1.jpg", "View")</f>
        <v>View</v>
      </c>
      <c r="F674" t="s">
        <v>191</v>
      </c>
      <c r="G674" t="s">
        <v>192</v>
      </c>
      <c r="H674">
        <v>78882</v>
      </c>
      <c r="I674" t="str">
        <f>HYPERLINK("https://www.inaturalist.org/taxa/78882-Rosa-multiflora", "View")</f>
        <v>View</v>
      </c>
      <c r="J674" t="s">
        <v>191</v>
      </c>
      <c r="K674" t="s">
        <v>193</v>
      </c>
      <c r="L674">
        <v>78882</v>
      </c>
      <c r="M674">
        <v>39.25</v>
      </c>
      <c r="N674">
        <v>99.54</v>
      </c>
      <c r="P674">
        <v>1</v>
      </c>
      <c r="R674" t="s">
        <v>23</v>
      </c>
      <c r="S674" t="s">
        <v>24</v>
      </c>
      <c r="T674" t="s">
        <v>316</v>
      </c>
    </row>
    <row r="675" spans="1:20" x14ac:dyDescent="0.25">
      <c r="A675">
        <v>74</v>
      </c>
      <c r="B675" t="str">
        <f>HYPERLINK("https://imapinvasives.natureserve.org/imap/services/page/Presence/335402.html", "View")</f>
        <v>View</v>
      </c>
      <c r="C675">
        <v>335402</v>
      </c>
      <c r="D675">
        <v>335402</v>
      </c>
      <c r="E675" t="str">
        <f>HYPERLINK("http://imap3images.s3-website-us-east-1.amazonaws.com/335402/p/photourl2_2012_07_31_alidenny_zx72mscv.jpg", "View")</f>
        <v>View</v>
      </c>
      <c r="F675" t="s">
        <v>191</v>
      </c>
      <c r="G675" t="s">
        <v>192</v>
      </c>
      <c r="H675">
        <v>78882</v>
      </c>
      <c r="I675" t="str">
        <f>HYPERLINK("https://www.inaturalist.org/taxa/469472-Malus-domestica", "View")</f>
        <v>View</v>
      </c>
      <c r="J675" t="s">
        <v>73</v>
      </c>
      <c r="K675" t="s">
        <v>74</v>
      </c>
      <c r="L675">
        <v>469472</v>
      </c>
      <c r="M675">
        <v>3.42</v>
      </c>
      <c r="N675">
        <v>8.11</v>
      </c>
      <c r="P675">
        <v>0</v>
      </c>
      <c r="R675" t="s">
        <v>40</v>
      </c>
      <c r="S675" t="s">
        <v>34</v>
      </c>
      <c r="T675" t="s">
        <v>317</v>
      </c>
    </row>
    <row r="676" spans="1:20" x14ac:dyDescent="0.25">
      <c r="A676">
        <v>75</v>
      </c>
      <c r="B676" t="str">
        <f>HYPERLINK("https://imapinvasives.natureserve.org/imap/services/page/Presence/1295044.html", "View")</f>
        <v>View</v>
      </c>
      <c r="C676">
        <v>1295044</v>
      </c>
      <c r="D676">
        <v>1305250</v>
      </c>
      <c r="E676" t="str">
        <f>HYPERLINK("http://imap3images.s3-website-us-east-1.amazonaws.com/1305250/p/Photo_1.jpg", "View")</f>
        <v>View</v>
      </c>
      <c r="F676" t="s">
        <v>191</v>
      </c>
      <c r="G676" t="s">
        <v>192</v>
      </c>
      <c r="H676">
        <v>78882</v>
      </c>
      <c r="I676" t="str">
        <f>HYPERLINK("https://www.inaturalist.org/taxa/58727-Berberis-thunbergii", "View")</f>
        <v>View</v>
      </c>
      <c r="J676" t="s">
        <v>113</v>
      </c>
      <c r="K676" t="s">
        <v>114</v>
      </c>
      <c r="L676">
        <v>58727</v>
      </c>
      <c r="M676">
        <v>29.6</v>
      </c>
      <c r="N676">
        <v>66.900000000000006</v>
      </c>
      <c r="P676">
        <v>0</v>
      </c>
      <c r="R676" t="s">
        <v>40</v>
      </c>
      <c r="S676" t="s">
        <v>39</v>
      </c>
      <c r="T676" t="s">
        <v>317</v>
      </c>
    </row>
    <row r="677" spans="1:20" x14ac:dyDescent="0.25">
      <c r="A677">
        <v>76</v>
      </c>
      <c r="B677" t="str">
        <f>HYPERLINK("https://imapinvasives.natureserve.org/imap/services/page/Presence/1139612.html", "View")</f>
        <v>View</v>
      </c>
      <c r="C677">
        <v>1139612</v>
      </c>
      <c r="D677">
        <v>1146122</v>
      </c>
      <c r="E677" t="str">
        <f>HYPERLINK("http://imap3images.s3-website-us-east-1.amazonaws.com/1146122/p/imap_app_photo_1622492164200.jpg", "View")</f>
        <v>View</v>
      </c>
      <c r="F677" t="s">
        <v>191</v>
      </c>
      <c r="G677" t="s">
        <v>192</v>
      </c>
      <c r="H677">
        <v>78882</v>
      </c>
      <c r="I677" t="str">
        <f>HYPERLINK("https://www.inaturalist.org/taxa/78882-Rosa-multiflora", "View")</f>
        <v>View</v>
      </c>
      <c r="J677" t="s">
        <v>191</v>
      </c>
      <c r="K677" t="s">
        <v>193</v>
      </c>
      <c r="L677">
        <v>78882</v>
      </c>
      <c r="M677">
        <v>33.82</v>
      </c>
      <c r="N677">
        <v>98</v>
      </c>
      <c r="P677">
        <v>1</v>
      </c>
      <c r="R677" t="s">
        <v>23</v>
      </c>
      <c r="S677" t="s">
        <v>24</v>
      </c>
      <c r="T677" t="s">
        <v>316</v>
      </c>
    </row>
    <row r="678" spans="1:20" x14ac:dyDescent="0.25">
      <c r="A678">
        <v>77</v>
      </c>
      <c r="B678" t="str">
        <f>HYPERLINK("https://imapinvasives.natureserve.org/imap/services/page/Presence/336042.html", "View")</f>
        <v>View</v>
      </c>
      <c r="C678">
        <v>336042</v>
      </c>
      <c r="D678">
        <v>336042</v>
      </c>
      <c r="E678" t="str">
        <f>HYPERLINK("http://imap3images.s3-website-us-east-1.amazonaws.com/336042/p/photourl2_2013_09_18_techvalleyhigh_3cpaqbnv.jpg", "View")</f>
        <v>View</v>
      </c>
      <c r="F678" t="s">
        <v>191</v>
      </c>
      <c r="G678" t="s">
        <v>192</v>
      </c>
      <c r="H678">
        <v>78882</v>
      </c>
      <c r="I678" t="str">
        <f>HYPERLINK("https://www.inaturalist.org/taxa/58727-Berberis-thunbergii", "View")</f>
        <v>View</v>
      </c>
      <c r="J678" t="s">
        <v>113</v>
      </c>
      <c r="K678" t="s">
        <v>114</v>
      </c>
      <c r="L678">
        <v>58727</v>
      </c>
      <c r="M678">
        <v>64.23</v>
      </c>
      <c r="N678">
        <v>6.81</v>
      </c>
      <c r="P678">
        <v>0</v>
      </c>
      <c r="R678" t="s">
        <v>40</v>
      </c>
      <c r="S678" t="s">
        <v>34</v>
      </c>
      <c r="T678" t="s">
        <v>317</v>
      </c>
    </row>
    <row r="679" spans="1:20" x14ac:dyDescent="0.25">
      <c r="A679">
        <v>78</v>
      </c>
      <c r="B679" t="str">
        <f>HYPERLINK("https://imapinvasives.natureserve.org/imap/services/page/Presence/528191.html", "View")</f>
        <v>View</v>
      </c>
      <c r="C679">
        <v>528191</v>
      </c>
      <c r="D679">
        <v>528191</v>
      </c>
      <c r="E679" t="str">
        <f>HYPERLINK("http://imap3images.s3-website-us-east-1.amazonaws.com/528191/p/photourl1_2018_07_09_lexlill_ftmckmg4.jpg", "View")</f>
        <v>View</v>
      </c>
      <c r="F679" t="s">
        <v>191</v>
      </c>
      <c r="G679" t="s">
        <v>192</v>
      </c>
      <c r="H679">
        <v>78882</v>
      </c>
      <c r="I679" t="str">
        <f t="shared" ref="I679:I701" si="31">HYPERLINK("https://www.inaturalist.org/taxa/78882-Rosa-multiflora", "View")</f>
        <v>View</v>
      </c>
      <c r="J679" t="s">
        <v>191</v>
      </c>
      <c r="K679" t="s">
        <v>193</v>
      </c>
      <c r="L679">
        <v>78882</v>
      </c>
      <c r="M679">
        <v>64.77</v>
      </c>
      <c r="N679">
        <v>64.55</v>
      </c>
      <c r="P679">
        <v>1</v>
      </c>
      <c r="R679" t="s">
        <v>23</v>
      </c>
      <c r="S679" t="s">
        <v>24</v>
      </c>
      <c r="T679" t="s">
        <v>316</v>
      </c>
    </row>
    <row r="680" spans="1:20" x14ac:dyDescent="0.25">
      <c r="A680">
        <v>79</v>
      </c>
      <c r="B680" t="str">
        <f>HYPERLINK("https://imapinvasives.natureserve.org/imap/services/page/Presence/420390.html", "View")</f>
        <v>View</v>
      </c>
      <c r="C680">
        <v>420390</v>
      </c>
      <c r="D680">
        <v>420390</v>
      </c>
      <c r="E680" t="str">
        <f>HYPERLINK("http://imap3images.s3-website-us-east-1.amazonaws.com/420390/p/photourl1_2014_09_09_angklinczar_dhdd5bpj.jpg", "View")</f>
        <v>View</v>
      </c>
      <c r="F680" t="s">
        <v>191</v>
      </c>
      <c r="G680" t="s">
        <v>192</v>
      </c>
      <c r="H680">
        <v>78882</v>
      </c>
      <c r="I680" t="str">
        <f t="shared" si="31"/>
        <v>View</v>
      </c>
      <c r="J680" t="s">
        <v>191</v>
      </c>
      <c r="K680" t="s">
        <v>193</v>
      </c>
      <c r="L680">
        <v>78882</v>
      </c>
      <c r="M680">
        <v>23.67</v>
      </c>
      <c r="N680">
        <v>88.8</v>
      </c>
      <c r="P680">
        <v>1</v>
      </c>
      <c r="R680" t="s">
        <v>23</v>
      </c>
      <c r="S680" t="s">
        <v>24</v>
      </c>
      <c r="T680" t="s">
        <v>316</v>
      </c>
    </row>
    <row r="681" spans="1:20" x14ac:dyDescent="0.25">
      <c r="A681">
        <v>80</v>
      </c>
      <c r="B681" t="str">
        <f>HYPERLINK("https://imapinvasives.natureserve.org/imap/services/page/Presence/1048040.html", "View")</f>
        <v>View</v>
      </c>
      <c r="C681">
        <v>1048040</v>
      </c>
      <c r="D681">
        <v>1052038</v>
      </c>
      <c r="E681" t="str">
        <f>HYPERLINK("http://imap3images.s3-website-us-east-1.amazonaws.com/1052038/p/imap_app_photo_1591302796790.jpg", "View")</f>
        <v>View</v>
      </c>
      <c r="F681" t="s">
        <v>191</v>
      </c>
      <c r="G681" t="s">
        <v>192</v>
      </c>
      <c r="H681">
        <v>78882</v>
      </c>
      <c r="I681" t="str">
        <f t="shared" si="31"/>
        <v>View</v>
      </c>
      <c r="J681" t="s">
        <v>191</v>
      </c>
      <c r="K681" t="s">
        <v>193</v>
      </c>
      <c r="L681">
        <v>78882</v>
      </c>
      <c r="M681">
        <v>13.71</v>
      </c>
      <c r="N681">
        <v>97.43</v>
      </c>
      <c r="P681">
        <v>1</v>
      </c>
      <c r="R681" t="s">
        <v>23</v>
      </c>
      <c r="S681" t="s">
        <v>24</v>
      </c>
      <c r="T681" t="s">
        <v>316</v>
      </c>
    </row>
    <row r="682" spans="1:20" x14ac:dyDescent="0.25">
      <c r="A682">
        <v>81</v>
      </c>
      <c r="B682" t="str">
        <f>HYPERLINK("https://imapinvasives.natureserve.org/imap/services/page/Presence/1299341.html", "View")</f>
        <v>View</v>
      </c>
      <c r="C682">
        <v>1299341</v>
      </c>
      <c r="D682">
        <v>1309677</v>
      </c>
      <c r="E682" t="str">
        <f>HYPERLINK("http://imap3images.s3-website-us-east-1.amazonaws.com/1309677/p/Photo_1.jpg", "View")</f>
        <v>View</v>
      </c>
      <c r="F682" t="s">
        <v>191</v>
      </c>
      <c r="G682" t="s">
        <v>192</v>
      </c>
      <c r="H682">
        <v>78882</v>
      </c>
      <c r="I682" t="str">
        <f t="shared" si="31"/>
        <v>View</v>
      </c>
      <c r="J682" t="s">
        <v>191</v>
      </c>
      <c r="K682" t="s">
        <v>193</v>
      </c>
      <c r="L682">
        <v>78882</v>
      </c>
      <c r="M682">
        <v>35.42</v>
      </c>
      <c r="N682">
        <v>10.45</v>
      </c>
      <c r="P682">
        <v>1</v>
      </c>
      <c r="R682" t="s">
        <v>23</v>
      </c>
      <c r="S682" t="s">
        <v>39</v>
      </c>
      <c r="T682" t="s">
        <v>317</v>
      </c>
    </row>
    <row r="683" spans="1:20" x14ac:dyDescent="0.25">
      <c r="A683">
        <v>82</v>
      </c>
      <c r="B683" t="str">
        <f>HYPERLINK("https://imapinvasives.natureserve.org/imap/services/page/Presence/1286031.html", "View")</f>
        <v>View</v>
      </c>
      <c r="C683">
        <v>1286031</v>
      </c>
      <c r="D683">
        <v>1295754</v>
      </c>
      <c r="E683" t="str">
        <f>HYPERLINK("http://imap3images.s3-website-us-east-1.amazonaws.com/1295754/p/imap_app_photo_1660178907613.jpg", "View")</f>
        <v>View</v>
      </c>
      <c r="F683" t="s">
        <v>191</v>
      </c>
      <c r="G683" t="s">
        <v>192</v>
      </c>
      <c r="H683">
        <v>78882</v>
      </c>
      <c r="I683" t="str">
        <f t="shared" si="31"/>
        <v>View</v>
      </c>
      <c r="J683" t="s">
        <v>191</v>
      </c>
      <c r="K683" t="s">
        <v>193</v>
      </c>
      <c r="L683">
        <v>78882</v>
      </c>
      <c r="M683">
        <v>19.600000000000001</v>
      </c>
      <c r="N683">
        <v>98.03</v>
      </c>
      <c r="P683">
        <v>1</v>
      </c>
      <c r="R683" t="s">
        <v>23</v>
      </c>
      <c r="S683" t="s">
        <v>24</v>
      </c>
      <c r="T683" t="s">
        <v>316</v>
      </c>
    </row>
    <row r="684" spans="1:20" x14ac:dyDescent="0.25">
      <c r="A684">
        <v>83</v>
      </c>
      <c r="B684" t="str">
        <f>HYPERLINK("https://imapinvasives.natureserve.org/imap/services/page/Presence/1069520.html", "View")</f>
        <v>View</v>
      </c>
      <c r="C684">
        <v>1069520</v>
      </c>
      <c r="D684">
        <v>1074385</v>
      </c>
      <c r="E684" t="str">
        <f>HYPERLINK("http://imap3images.s3-website-us-east-1.amazonaws.com/1074385/p/imap_app_photo_1600461830811.jpg", "View")</f>
        <v>View</v>
      </c>
      <c r="F684" t="s">
        <v>191</v>
      </c>
      <c r="G684" t="s">
        <v>192</v>
      </c>
      <c r="H684">
        <v>78882</v>
      </c>
      <c r="I684" t="str">
        <f t="shared" si="31"/>
        <v>View</v>
      </c>
      <c r="J684" t="s">
        <v>191</v>
      </c>
      <c r="K684" t="s">
        <v>193</v>
      </c>
      <c r="L684">
        <v>78882</v>
      </c>
      <c r="M684">
        <v>36.74</v>
      </c>
      <c r="N684">
        <v>95.45</v>
      </c>
      <c r="P684">
        <v>1</v>
      </c>
      <c r="R684" t="s">
        <v>23</v>
      </c>
      <c r="S684" t="s">
        <v>24</v>
      </c>
      <c r="T684" t="s">
        <v>316</v>
      </c>
    </row>
    <row r="685" spans="1:20" x14ac:dyDescent="0.25">
      <c r="A685">
        <v>84</v>
      </c>
      <c r="B685" t="str">
        <f>HYPERLINK("https://imapinvasives.natureserve.org/imap/services/page/Presence/1157432.html", "View")</f>
        <v>View</v>
      </c>
      <c r="C685">
        <v>1157432</v>
      </c>
      <c r="D685">
        <v>1164472</v>
      </c>
      <c r="E685" t="str">
        <f>HYPERLINK("http://imap3images.s3-website-us-east-1.amazonaws.com/1164472/p/imap_app_photo_1628611885973.jpg", "View")</f>
        <v>View</v>
      </c>
      <c r="F685" t="s">
        <v>191</v>
      </c>
      <c r="G685" t="s">
        <v>192</v>
      </c>
      <c r="H685">
        <v>78882</v>
      </c>
      <c r="I685" t="str">
        <f t="shared" si="31"/>
        <v>View</v>
      </c>
      <c r="J685" t="s">
        <v>191</v>
      </c>
      <c r="K685" t="s">
        <v>193</v>
      </c>
      <c r="L685">
        <v>78882</v>
      </c>
      <c r="M685">
        <v>27.75</v>
      </c>
      <c r="N685">
        <v>99.47</v>
      </c>
      <c r="P685">
        <v>1</v>
      </c>
      <c r="R685" t="s">
        <v>23</v>
      </c>
      <c r="S685" t="s">
        <v>24</v>
      </c>
      <c r="T685" t="s">
        <v>316</v>
      </c>
    </row>
    <row r="686" spans="1:20" x14ac:dyDescent="0.25">
      <c r="A686">
        <v>85</v>
      </c>
      <c r="B686" t="str">
        <f>HYPERLINK("https://imapinvasives.natureserve.org/imap/services/page/Presence/1297201.html", "View")</f>
        <v>View</v>
      </c>
      <c r="C686">
        <v>1297201</v>
      </c>
      <c r="D686">
        <v>1307432</v>
      </c>
      <c r="E686" t="str">
        <f>HYPERLINK("http://imap3images.s3-website-us-east-1.amazonaws.com/1307432/p/imap_app_photo_1663954092051.jpg", "View")</f>
        <v>View</v>
      </c>
      <c r="F686" t="s">
        <v>191</v>
      </c>
      <c r="G686" t="s">
        <v>192</v>
      </c>
      <c r="H686">
        <v>78882</v>
      </c>
      <c r="I686" t="str">
        <f t="shared" si="31"/>
        <v>View</v>
      </c>
      <c r="J686" t="s">
        <v>191</v>
      </c>
      <c r="K686" t="s">
        <v>193</v>
      </c>
      <c r="L686">
        <v>78882</v>
      </c>
      <c r="M686">
        <v>64.77</v>
      </c>
      <c r="N686">
        <v>95.13</v>
      </c>
      <c r="P686">
        <v>1</v>
      </c>
      <c r="R686" t="s">
        <v>23</v>
      </c>
      <c r="S686" t="s">
        <v>24</v>
      </c>
      <c r="T686" t="s">
        <v>316</v>
      </c>
    </row>
    <row r="687" spans="1:20" x14ac:dyDescent="0.25">
      <c r="A687">
        <v>86</v>
      </c>
      <c r="B687" t="str">
        <f>HYPERLINK("https://imapinvasives.natureserve.org/imap/services/page/Presence/496831.html", "View")</f>
        <v>View</v>
      </c>
      <c r="C687">
        <v>496831</v>
      </c>
      <c r="D687">
        <v>496831</v>
      </c>
      <c r="E687" t="str">
        <f>HYPERLINK("http://imap3images.s3-website-us-east-1.amazonaws.com/496831/p/photourl1_2016_10_23_julgrinstead_1yh55up6.jpg", "View")</f>
        <v>View</v>
      </c>
      <c r="F687" t="s">
        <v>191</v>
      </c>
      <c r="G687" t="s">
        <v>192</v>
      </c>
      <c r="H687">
        <v>78882</v>
      </c>
      <c r="I687" t="str">
        <f t="shared" si="31"/>
        <v>View</v>
      </c>
      <c r="J687" t="s">
        <v>191</v>
      </c>
      <c r="K687" t="s">
        <v>193</v>
      </c>
      <c r="L687">
        <v>78882</v>
      </c>
      <c r="M687">
        <v>41.85</v>
      </c>
      <c r="N687">
        <v>92.74</v>
      </c>
      <c r="P687">
        <v>1</v>
      </c>
      <c r="R687" t="s">
        <v>23</v>
      </c>
      <c r="S687" t="s">
        <v>33</v>
      </c>
      <c r="T687" t="s">
        <v>317</v>
      </c>
    </row>
    <row r="688" spans="1:20" x14ac:dyDescent="0.25">
      <c r="A688">
        <v>87</v>
      </c>
      <c r="B688" t="str">
        <f>HYPERLINK("https://imapinvasives.natureserve.org/imap/services/page/Presence/533143.html", "View")</f>
        <v>View</v>
      </c>
      <c r="C688">
        <v>533143</v>
      </c>
      <c r="D688">
        <v>533143</v>
      </c>
      <c r="E688" t="str">
        <f>HYPERLINK("http://imap3images.s3-website-us-east-1.amazonaws.com/533143/p/photourl1_2019_02_10_colflynn_bildiu3a.jpg", "View")</f>
        <v>View</v>
      </c>
      <c r="F688" t="s">
        <v>191</v>
      </c>
      <c r="G688" t="s">
        <v>192</v>
      </c>
      <c r="H688">
        <v>78882</v>
      </c>
      <c r="I688" t="str">
        <f t="shared" si="31"/>
        <v>View</v>
      </c>
      <c r="J688" t="s">
        <v>191</v>
      </c>
      <c r="K688" t="s">
        <v>193</v>
      </c>
      <c r="L688">
        <v>78882</v>
      </c>
      <c r="M688">
        <v>30.85</v>
      </c>
      <c r="N688">
        <v>19</v>
      </c>
      <c r="P688">
        <v>1</v>
      </c>
      <c r="R688" t="s">
        <v>23</v>
      </c>
      <c r="S688" t="s">
        <v>64</v>
      </c>
      <c r="T688" t="s">
        <v>317</v>
      </c>
    </row>
    <row r="689" spans="1:20" x14ac:dyDescent="0.25">
      <c r="A689">
        <v>88</v>
      </c>
      <c r="B689" t="str">
        <f>HYPERLINK("https://imapinvasives.natureserve.org/imap/services/page/Presence/1181018.html", "View")</f>
        <v>View</v>
      </c>
      <c r="C689">
        <v>1181018</v>
      </c>
      <c r="D689">
        <v>1188893</v>
      </c>
      <c r="E689" t="str">
        <f>HYPERLINK("http://imap3images.s3-website-us-east-1.amazonaws.com/1188893/p/imap_app_photo_1637174088625.jpg", "View")</f>
        <v>View</v>
      </c>
      <c r="F689" t="s">
        <v>191</v>
      </c>
      <c r="G689" t="s">
        <v>192</v>
      </c>
      <c r="H689">
        <v>78882</v>
      </c>
      <c r="I689" t="str">
        <f t="shared" si="31"/>
        <v>View</v>
      </c>
      <c r="J689" t="s">
        <v>191</v>
      </c>
      <c r="K689" t="s">
        <v>193</v>
      </c>
      <c r="L689">
        <v>78882</v>
      </c>
      <c r="M689">
        <v>13.71</v>
      </c>
      <c r="N689">
        <v>35.69</v>
      </c>
      <c r="P689">
        <v>1</v>
      </c>
      <c r="R689" t="s">
        <v>23</v>
      </c>
      <c r="S689" t="s">
        <v>33</v>
      </c>
      <c r="T689" t="s">
        <v>317</v>
      </c>
    </row>
    <row r="690" spans="1:20" x14ac:dyDescent="0.25">
      <c r="A690">
        <v>89</v>
      </c>
      <c r="B690" t="str">
        <f>HYPERLINK("https://imapinvasives.natureserve.org/imap/services/page/Presence/1298302.html", "View")</f>
        <v>View</v>
      </c>
      <c r="C690">
        <v>1298302</v>
      </c>
      <c r="D690">
        <v>1308572</v>
      </c>
      <c r="E690" t="str">
        <f>HYPERLINK("http://imap3images.s3-website-us-east-1.amazonaws.com/1308572/p/imap_app_photo_1664823254222.jpg", "View")</f>
        <v>View</v>
      </c>
      <c r="F690" t="s">
        <v>191</v>
      </c>
      <c r="G690" t="s">
        <v>192</v>
      </c>
      <c r="H690">
        <v>78882</v>
      </c>
      <c r="I690" t="str">
        <f t="shared" si="31"/>
        <v>View</v>
      </c>
      <c r="J690" t="s">
        <v>191</v>
      </c>
      <c r="K690" t="s">
        <v>193</v>
      </c>
      <c r="L690">
        <v>78882</v>
      </c>
      <c r="M690">
        <v>30.85</v>
      </c>
      <c r="N690">
        <v>96.41</v>
      </c>
      <c r="P690">
        <v>1</v>
      </c>
      <c r="R690" t="s">
        <v>23</v>
      </c>
      <c r="S690" t="s">
        <v>24</v>
      </c>
      <c r="T690" t="s">
        <v>316</v>
      </c>
    </row>
    <row r="691" spans="1:20" x14ac:dyDescent="0.25">
      <c r="A691">
        <v>90</v>
      </c>
      <c r="B691" t="str">
        <f>HYPERLINK("https://imapinvasives.natureserve.org/imap/services/page/Presence/1016036.html", "View")</f>
        <v>View</v>
      </c>
      <c r="C691">
        <v>1016036</v>
      </c>
      <c r="D691">
        <v>1016472</v>
      </c>
      <c r="E691" t="str">
        <f>HYPERLINK("http://imap3images.s3-website-us-east-1.amazonaws.com/1016472/p/DSCN8747.JPG", "View")</f>
        <v>View</v>
      </c>
      <c r="F691" t="s">
        <v>191</v>
      </c>
      <c r="G691" t="s">
        <v>192</v>
      </c>
      <c r="H691">
        <v>78882</v>
      </c>
      <c r="I691" t="str">
        <f t="shared" si="31"/>
        <v>View</v>
      </c>
      <c r="J691" t="s">
        <v>191</v>
      </c>
      <c r="K691" t="s">
        <v>193</v>
      </c>
      <c r="L691">
        <v>78882</v>
      </c>
      <c r="M691">
        <v>35.119999999999997</v>
      </c>
      <c r="N691">
        <v>67.48</v>
      </c>
      <c r="P691">
        <v>1</v>
      </c>
      <c r="R691" t="s">
        <v>23</v>
      </c>
      <c r="S691" t="s">
        <v>24</v>
      </c>
      <c r="T691" t="s">
        <v>316</v>
      </c>
    </row>
    <row r="692" spans="1:20" x14ac:dyDescent="0.25">
      <c r="A692">
        <v>91</v>
      </c>
      <c r="B692" t="str">
        <f>HYPERLINK("https://imapinvasives.natureserve.org/imap/services/page/Presence/1057732.html", "View")</f>
        <v>View</v>
      </c>
      <c r="C692">
        <v>1057732</v>
      </c>
      <c r="D692">
        <v>1062252</v>
      </c>
      <c r="E692" t="str">
        <f>HYPERLINK("http://imap3images.s3-website-us-east-1.amazonaws.com/1062252/p/imap_app_photo_1595455102353.jpg", "View")</f>
        <v>View</v>
      </c>
      <c r="F692" t="s">
        <v>191</v>
      </c>
      <c r="G692" t="s">
        <v>192</v>
      </c>
      <c r="H692">
        <v>78882</v>
      </c>
      <c r="I692" t="str">
        <f t="shared" si="31"/>
        <v>View</v>
      </c>
      <c r="J692" t="s">
        <v>191</v>
      </c>
      <c r="K692" t="s">
        <v>193</v>
      </c>
      <c r="L692">
        <v>78882</v>
      </c>
      <c r="M692">
        <v>35.42</v>
      </c>
      <c r="N692">
        <v>15.71</v>
      </c>
      <c r="P692">
        <v>1</v>
      </c>
      <c r="R692" t="s">
        <v>23</v>
      </c>
      <c r="S692" t="s">
        <v>79</v>
      </c>
      <c r="T692" t="s">
        <v>317</v>
      </c>
    </row>
    <row r="693" spans="1:20" x14ac:dyDescent="0.25">
      <c r="A693">
        <v>92</v>
      </c>
      <c r="B693" t="str">
        <f>HYPERLINK("https://imapinvasives.natureserve.org/imap/services/page/Presence/513089.html", "View")</f>
        <v>View</v>
      </c>
      <c r="C693">
        <v>513089</v>
      </c>
      <c r="D693">
        <v>513089</v>
      </c>
      <c r="E693" t="str">
        <f>HYPERLINK("http://imap3images.s3-website-us-east-1.amazonaws.com/513089/p/photourl1_2017_07_09_erncoon_hoc2o674.jpg", "View")</f>
        <v>View</v>
      </c>
      <c r="F693" t="s">
        <v>191</v>
      </c>
      <c r="G693" t="s">
        <v>192</v>
      </c>
      <c r="H693">
        <v>78882</v>
      </c>
      <c r="I693" t="str">
        <f t="shared" si="31"/>
        <v>View</v>
      </c>
      <c r="J693" t="s">
        <v>191</v>
      </c>
      <c r="K693" t="s">
        <v>193</v>
      </c>
      <c r="L693">
        <v>78882</v>
      </c>
      <c r="M693">
        <v>81.12</v>
      </c>
      <c r="N693">
        <v>98.68</v>
      </c>
      <c r="P693">
        <v>1</v>
      </c>
      <c r="R693" t="s">
        <v>23</v>
      </c>
      <c r="S693" t="s">
        <v>24</v>
      </c>
      <c r="T693" t="s">
        <v>316</v>
      </c>
    </row>
    <row r="694" spans="1:20" x14ac:dyDescent="0.25">
      <c r="A694">
        <v>93</v>
      </c>
      <c r="B694" t="str">
        <f>HYPERLINK("https://imapinvasives.natureserve.org/imap/services/page/Presence/1055800.html", "View")</f>
        <v>View</v>
      </c>
      <c r="C694">
        <v>1055800</v>
      </c>
      <c r="D694">
        <v>1060178</v>
      </c>
      <c r="E694" t="str">
        <f>HYPERLINK("http://imap3images.s3-website-us-east-1.amazonaws.com/1060178/p/imap_app_photo_1594745339021.jpg", "View")</f>
        <v>View</v>
      </c>
      <c r="F694" t="s">
        <v>191</v>
      </c>
      <c r="G694" t="s">
        <v>192</v>
      </c>
      <c r="H694">
        <v>78882</v>
      </c>
      <c r="I694" t="str">
        <f t="shared" si="31"/>
        <v>View</v>
      </c>
      <c r="J694" t="s">
        <v>191</v>
      </c>
      <c r="K694" t="s">
        <v>193</v>
      </c>
      <c r="L694">
        <v>78882</v>
      </c>
      <c r="M694">
        <v>46.96</v>
      </c>
      <c r="N694">
        <v>89.9</v>
      </c>
      <c r="P694">
        <v>1</v>
      </c>
      <c r="R694" t="s">
        <v>23</v>
      </c>
      <c r="S694" t="s">
        <v>24</v>
      </c>
      <c r="T694" t="s">
        <v>316</v>
      </c>
    </row>
    <row r="695" spans="1:20" x14ac:dyDescent="0.25">
      <c r="A695">
        <v>94</v>
      </c>
      <c r="B695" t="str">
        <f>HYPERLINK("https://imapinvasives.natureserve.org/imap/services/page/Presence/526746.html", "View")</f>
        <v>View</v>
      </c>
      <c r="C695">
        <v>526746</v>
      </c>
      <c r="D695">
        <v>526746</v>
      </c>
      <c r="E695" t="str">
        <f>HYPERLINK("http://imap3images.s3-website-us-east-1.amazonaws.com/526746/p/photourl1_2018_06_14_lexlill_4a5ltxve.jpg", "View")</f>
        <v>View</v>
      </c>
      <c r="F695" t="s">
        <v>191</v>
      </c>
      <c r="G695" t="s">
        <v>192</v>
      </c>
      <c r="H695">
        <v>78882</v>
      </c>
      <c r="I695" t="str">
        <f t="shared" si="31"/>
        <v>View</v>
      </c>
      <c r="J695" t="s">
        <v>191</v>
      </c>
      <c r="K695" t="s">
        <v>193</v>
      </c>
      <c r="L695">
        <v>78882</v>
      </c>
      <c r="M695">
        <v>64.77</v>
      </c>
      <c r="N695">
        <v>84.7</v>
      </c>
      <c r="P695">
        <v>1</v>
      </c>
      <c r="R695" t="s">
        <v>23</v>
      </c>
      <c r="S695" t="s">
        <v>24</v>
      </c>
      <c r="T695" t="s">
        <v>316</v>
      </c>
    </row>
    <row r="696" spans="1:20" x14ac:dyDescent="0.25">
      <c r="A696">
        <v>95</v>
      </c>
      <c r="B696" t="str">
        <f>HYPERLINK("https://imapinvasives.natureserve.org/imap/services/page/Presence/1071161.html", "View")</f>
        <v>View</v>
      </c>
      <c r="C696">
        <v>1071161</v>
      </c>
      <c r="D696">
        <v>1076187</v>
      </c>
      <c r="E696" t="str">
        <f>HYPERLINK("http://imap3images.s3-website-us-east-1.amazonaws.com/1076187/p/attachment1.jpg", "View")</f>
        <v>View</v>
      </c>
      <c r="F696" t="s">
        <v>191</v>
      </c>
      <c r="G696" t="s">
        <v>192</v>
      </c>
      <c r="H696">
        <v>78882</v>
      </c>
      <c r="I696" t="str">
        <f t="shared" si="31"/>
        <v>View</v>
      </c>
      <c r="J696" t="s">
        <v>191</v>
      </c>
      <c r="K696" t="s">
        <v>193</v>
      </c>
      <c r="L696">
        <v>78882</v>
      </c>
      <c r="M696">
        <v>39.25</v>
      </c>
      <c r="N696">
        <v>26.07</v>
      </c>
      <c r="P696">
        <v>1</v>
      </c>
      <c r="R696" t="s">
        <v>23</v>
      </c>
      <c r="S696" t="s">
        <v>79</v>
      </c>
      <c r="T696" t="s">
        <v>317</v>
      </c>
    </row>
    <row r="697" spans="1:20" x14ac:dyDescent="0.25">
      <c r="A697">
        <v>96</v>
      </c>
      <c r="B697" t="str">
        <f>HYPERLINK("https://imapinvasives.natureserve.org/imap/services/page/Presence/1031463.html", "View")</f>
        <v>View</v>
      </c>
      <c r="C697">
        <v>1031463</v>
      </c>
      <c r="D697">
        <v>1032895</v>
      </c>
      <c r="E697" t="str">
        <f>HYPERLINK("http://imap3images.s3-website-us-east-1.amazonaws.com/1032895/p/imap_app_photo_1568412214022.jpg", "View")</f>
        <v>View</v>
      </c>
      <c r="F697" t="s">
        <v>191</v>
      </c>
      <c r="G697" t="s">
        <v>192</v>
      </c>
      <c r="H697">
        <v>78882</v>
      </c>
      <c r="I697" t="str">
        <f t="shared" si="31"/>
        <v>View</v>
      </c>
      <c r="J697" t="s">
        <v>191</v>
      </c>
      <c r="K697" t="s">
        <v>193</v>
      </c>
      <c r="L697">
        <v>78882</v>
      </c>
      <c r="M697">
        <v>45.07</v>
      </c>
      <c r="N697">
        <v>60.56</v>
      </c>
      <c r="P697">
        <v>1</v>
      </c>
      <c r="R697" t="s">
        <v>23</v>
      </c>
      <c r="S697" t="s">
        <v>24</v>
      </c>
      <c r="T697" t="s">
        <v>316</v>
      </c>
    </row>
    <row r="698" spans="1:20" x14ac:dyDescent="0.25">
      <c r="A698">
        <v>97</v>
      </c>
      <c r="B698" t="str">
        <f>HYPERLINK("https://imapinvasives.natureserve.org/imap/services/page/Presence/420865.html", "View")</f>
        <v>View</v>
      </c>
      <c r="C698">
        <v>420865</v>
      </c>
      <c r="D698">
        <v>420865</v>
      </c>
      <c r="E698" t="str">
        <f>HYPERLINK("http://imap3images.s3-website-us-east-1.amazonaws.com/420865/p/photourl1_2014_10_03_jendean_5r709kzk.jpg", "View")</f>
        <v>View</v>
      </c>
      <c r="F698" t="s">
        <v>191</v>
      </c>
      <c r="G698" t="s">
        <v>192</v>
      </c>
      <c r="H698">
        <v>78882</v>
      </c>
      <c r="I698" t="str">
        <f t="shared" si="31"/>
        <v>View</v>
      </c>
      <c r="J698" t="s">
        <v>191</v>
      </c>
      <c r="K698" t="s">
        <v>193</v>
      </c>
      <c r="L698">
        <v>78882</v>
      </c>
      <c r="M698">
        <v>33.58</v>
      </c>
      <c r="N698">
        <v>97.87</v>
      </c>
      <c r="P698">
        <v>1</v>
      </c>
      <c r="R698" t="s">
        <v>23</v>
      </c>
      <c r="S698" t="s">
        <v>24</v>
      </c>
      <c r="T698" t="s">
        <v>316</v>
      </c>
    </row>
    <row r="699" spans="1:20" x14ac:dyDescent="0.25">
      <c r="A699">
        <v>98</v>
      </c>
      <c r="B699" t="str">
        <f>HYPERLINK("https://imapinvasives.natureserve.org/imap/services/page/Presence/1342259.html", "View")</f>
        <v>View</v>
      </c>
      <c r="C699">
        <v>1342259</v>
      </c>
      <c r="D699">
        <v>1357698</v>
      </c>
      <c r="E699" t="str">
        <f>HYPERLINK("http://imap3images.s3-website-us-east-1.amazonaws.com/1357698/p/Photo_1.jpg", "View")</f>
        <v>View</v>
      </c>
      <c r="F699" t="s">
        <v>191</v>
      </c>
      <c r="G699" t="s">
        <v>192</v>
      </c>
      <c r="H699">
        <v>78882</v>
      </c>
      <c r="I699" t="str">
        <f t="shared" si="31"/>
        <v>View</v>
      </c>
      <c r="J699" t="s">
        <v>191</v>
      </c>
      <c r="K699" t="s">
        <v>193</v>
      </c>
      <c r="L699">
        <v>78882</v>
      </c>
      <c r="M699">
        <v>43.99</v>
      </c>
      <c r="N699">
        <v>91.72</v>
      </c>
      <c r="P699">
        <v>1</v>
      </c>
      <c r="R699" t="s">
        <v>23</v>
      </c>
      <c r="S699" t="s">
        <v>79</v>
      </c>
      <c r="T699" t="s">
        <v>317</v>
      </c>
    </row>
    <row r="700" spans="1:20" x14ac:dyDescent="0.25">
      <c r="A700">
        <v>99</v>
      </c>
      <c r="B700" t="str">
        <f>HYPERLINK("https://imapinvasives.natureserve.org/imap/services/page/Presence/1441709.html", "View")</f>
        <v>View</v>
      </c>
      <c r="C700">
        <v>1441709</v>
      </c>
      <c r="D700">
        <v>1456193</v>
      </c>
      <c r="E700" t="str">
        <f>HYPERLINK("http://imap3images.s3-website-us-east-1.amazonaws.com/1456193/p/imap_app_photo_1724343131256.jpg", "View")</f>
        <v>View</v>
      </c>
      <c r="F700" t="s">
        <v>191</v>
      </c>
      <c r="G700" t="s">
        <v>192</v>
      </c>
      <c r="H700">
        <v>78882</v>
      </c>
      <c r="I700" t="str">
        <f t="shared" si="31"/>
        <v>View</v>
      </c>
      <c r="J700" t="s">
        <v>191</v>
      </c>
      <c r="K700" t="s">
        <v>193</v>
      </c>
      <c r="L700">
        <v>78882</v>
      </c>
      <c r="M700">
        <v>83.21</v>
      </c>
      <c r="N700">
        <v>93.39</v>
      </c>
      <c r="P700">
        <v>1</v>
      </c>
      <c r="R700" t="s">
        <v>23</v>
      </c>
      <c r="S700" t="s">
        <v>24</v>
      </c>
      <c r="T700" t="s">
        <v>316</v>
      </c>
    </row>
    <row r="701" spans="1:20" x14ac:dyDescent="0.25">
      <c r="A701">
        <v>100</v>
      </c>
      <c r="B701" t="str">
        <f>HYPERLINK("https://imapinvasives.natureserve.org/imap/services/page/Presence/335409.html", "View")</f>
        <v>View</v>
      </c>
      <c r="C701">
        <v>335409</v>
      </c>
      <c r="D701">
        <v>335409</v>
      </c>
      <c r="E701" t="str">
        <f>HYPERLINK("http://imap3images.s3-website-us-east-1.amazonaws.com/335409/p/photourl3_2012_07_31_alidenny_93lrez2j.jpg", "View")</f>
        <v>View</v>
      </c>
      <c r="F701" t="s">
        <v>191</v>
      </c>
      <c r="G701" t="s">
        <v>192</v>
      </c>
      <c r="H701">
        <v>78882</v>
      </c>
      <c r="I701" t="str">
        <f t="shared" si="31"/>
        <v>View</v>
      </c>
      <c r="J701" t="s">
        <v>191</v>
      </c>
      <c r="K701" t="s">
        <v>193</v>
      </c>
      <c r="L701">
        <v>78882</v>
      </c>
      <c r="M701">
        <v>14.83</v>
      </c>
      <c r="N701">
        <v>75.709999999999994</v>
      </c>
      <c r="P701">
        <v>1</v>
      </c>
      <c r="R701" t="s">
        <v>23</v>
      </c>
      <c r="S701" t="s">
        <v>34</v>
      </c>
      <c r="T701" t="s">
        <v>317</v>
      </c>
    </row>
    <row r="702" spans="1:20" x14ac:dyDescent="0.25">
      <c r="A702">
        <v>1</v>
      </c>
      <c r="B702" t="str">
        <f>HYPERLINK("https://imapinvasives.natureserve.org/imap/services/page/Presence/1282496.html", "View")</f>
        <v>View</v>
      </c>
      <c r="C702">
        <v>1282496</v>
      </c>
      <c r="D702">
        <v>1291969</v>
      </c>
      <c r="E702" t="str">
        <f>HYPERLINK("http://imap3images.s3-website-us-east-1.amazonaws.com/1291969/p/imap_app_photo_1657988726044.jpg", "View")</f>
        <v>View</v>
      </c>
      <c r="F702" t="s">
        <v>56</v>
      </c>
      <c r="G702" t="s">
        <v>205</v>
      </c>
      <c r="H702">
        <v>64540</v>
      </c>
      <c r="I702" t="str">
        <f>HYPERLINK("https://www.inaturalist.org/taxa/64540-Celastrus-orbiculatus", "View")</f>
        <v>View</v>
      </c>
      <c r="J702" t="s">
        <v>56</v>
      </c>
      <c r="K702" t="s">
        <v>57</v>
      </c>
      <c r="L702">
        <v>64540</v>
      </c>
      <c r="M702">
        <v>9.51</v>
      </c>
      <c r="N702">
        <v>97.14</v>
      </c>
      <c r="P702">
        <v>1</v>
      </c>
      <c r="R702" t="s">
        <v>23</v>
      </c>
      <c r="S702" t="s">
        <v>24</v>
      </c>
      <c r="T702" t="s">
        <v>316</v>
      </c>
    </row>
    <row r="703" spans="1:20" x14ac:dyDescent="0.25">
      <c r="A703">
        <v>2</v>
      </c>
      <c r="B703" t="str">
        <f>HYPERLINK("https://imapinvasives.natureserve.org/imap/services/page/Presence/528748.html", "View")</f>
        <v>View</v>
      </c>
      <c r="C703">
        <v>528748</v>
      </c>
      <c r="D703">
        <v>528748</v>
      </c>
      <c r="E703" t="str">
        <f>HYPERLINK("http://imap3images.s3-website-us-east-1.amazonaws.com/528748/p/photourl1_2018_07_17_luzjimenez_1jqplrtd.jpg", "View")</f>
        <v>View</v>
      </c>
      <c r="F703" t="s">
        <v>56</v>
      </c>
      <c r="G703" t="s">
        <v>205</v>
      </c>
      <c r="H703">
        <v>64540</v>
      </c>
      <c r="I703" t="str">
        <f>HYPERLINK("https://www.inaturalist.org/taxa/64540-Celastrus-orbiculatus", "View")</f>
        <v>View</v>
      </c>
      <c r="J703" t="s">
        <v>56</v>
      </c>
      <c r="K703" t="s">
        <v>57</v>
      </c>
      <c r="L703">
        <v>64540</v>
      </c>
      <c r="M703">
        <v>89.98</v>
      </c>
      <c r="N703">
        <v>98.33</v>
      </c>
      <c r="P703">
        <v>1</v>
      </c>
      <c r="R703" t="s">
        <v>23</v>
      </c>
      <c r="S703" t="s">
        <v>24</v>
      </c>
      <c r="T703" t="s">
        <v>316</v>
      </c>
    </row>
    <row r="704" spans="1:20" x14ac:dyDescent="0.25">
      <c r="A704">
        <v>3</v>
      </c>
      <c r="B704" t="str">
        <f>HYPERLINK("https://imapinvasives.natureserve.org/imap/services/page/Presence/1298932.html", "View")</f>
        <v>View</v>
      </c>
      <c r="C704">
        <v>1298932</v>
      </c>
      <c r="D704">
        <v>1309264</v>
      </c>
      <c r="E704" t="str">
        <f>HYPERLINK("http://imap3images.s3-website-us-east-1.amazonaws.com/1309264/p/imap_app_photo_1666010737892.jpg", "View")</f>
        <v>View</v>
      </c>
      <c r="F704" t="s">
        <v>56</v>
      </c>
      <c r="G704" t="s">
        <v>205</v>
      </c>
      <c r="H704">
        <v>64540</v>
      </c>
      <c r="I704" t="str">
        <f>HYPERLINK("https://www.inaturalist.org/taxa/64540-Celastrus-orbiculatus", "View")</f>
        <v>View</v>
      </c>
      <c r="J704" t="s">
        <v>56</v>
      </c>
      <c r="K704" t="s">
        <v>57</v>
      </c>
      <c r="L704">
        <v>64540</v>
      </c>
      <c r="M704">
        <v>10.52</v>
      </c>
      <c r="N704">
        <v>88.2</v>
      </c>
      <c r="P704">
        <v>1</v>
      </c>
      <c r="R704" t="s">
        <v>23</v>
      </c>
      <c r="S704" t="s">
        <v>24</v>
      </c>
      <c r="T704" t="s">
        <v>316</v>
      </c>
    </row>
    <row r="705" spans="1:20" x14ac:dyDescent="0.25">
      <c r="A705">
        <v>4</v>
      </c>
      <c r="B705" t="str">
        <f>HYPERLINK("https://imapinvasives.natureserve.org/imap/services/page/Presence/411320.html", "View")</f>
        <v>View</v>
      </c>
      <c r="C705">
        <v>411320</v>
      </c>
      <c r="D705">
        <v>411320</v>
      </c>
      <c r="E705" t="str">
        <f>HYPERLINK("http://imap3images.s3-website-us-east-1.amazonaws.com/411320/p/photourl2_2014_06_20_rickenney_igmcllsr.jpg", "View")</f>
        <v>View</v>
      </c>
      <c r="F705" t="s">
        <v>56</v>
      </c>
      <c r="G705" t="s">
        <v>205</v>
      </c>
      <c r="H705">
        <v>64540</v>
      </c>
      <c r="I705" t="str">
        <f>HYPERLINK("https://www.inaturalist.org/taxa/49186-Castanea-dentata", "View")</f>
        <v>View</v>
      </c>
      <c r="J705" t="s">
        <v>206</v>
      </c>
      <c r="K705" t="s">
        <v>207</v>
      </c>
      <c r="L705">
        <v>49186</v>
      </c>
      <c r="M705">
        <v>12.58</v>
      </c>
      <c r="N705">
        <v>8.1999999999999993</v>
      </c>
      <c r="P705">
        <v>0</v>
      </c>
      <c r="R705" t="s">
        <v>40</v>
      </c>
      <c r="S705" t="s">
        <v>64</v>
      </c>
      <c r="T705" t="s">
        <v>317</v>
      </c>
    </row>
    <row r="706" spans="1:20" x14ac:dyDescent="0.25">
      <c r="A706">
        <v>5</v>
      </c>
      <c r="B706" t="str">
        <f>HYPERLINK("https://imapinvasives.natureserve.org/imap/services/page/Presence/511050.html", "View")</f>
        <v>View</v>
      </c>
      <c r="C706">
        <v>511050</v>
      </c>
      <c r="D706">
        <v>511050</v>
      </c>
      <c r="E706" t="str">
        <f>HYPERLINK("http://imap3images.s3-website-us-east-1.amazonaws.com/511050/p/photourl1_2017_05_22_eliblaschak_98row9i8.jpg", "View")</f>
        <v>View</v>
      </c>
      <c r="F706" t="s">
        <v>56</v>
      </c>
      <c r="G706" t="s">
        <v>205</v>
      </c>
      <c r="H706">
        <v>64540</v>
      </c>
      <c r="I706" t="str">
        <f>HYPERLINK("https://www.inaturalist.org/taxa/64540-Celastrus-orbiculatus", "View")</f>
        <v>View</v>
      </c>
      <c r="J706" t="s">
        <v>56</v>
      </c>
      <c r="K706" t="s">
        <v>57</v>
      </c>
      <c r="L706">
        <v>64540</v>
      </c>
      <c r="M706">
        <v>27.76</v>
      </c>
      <c r="N706">
        <v>98.54</v>
      </c>
      <c r="P706">
        <v>1</v>
      </c>
      <c r="R706" t="s">
        <v>23</v>
      </c>
      <c r="S706" t="s">
        <v>24</v>
      </c>
      <c r="T706" t="s">
        <v>316</v>
      </c>
    </row>
    <row r="707" spans="1:20" x14ac:dyDescent="0.25">
      <c r="A707">
        <v>6</v>
      </c>
      <c r="B707" t="str">
        <f>HYPERLINK("https://imapinvasives.natureserve.org/imap/services/page/Presence/1338532.html", "View")</f>
        <v>View</v>
      </c>
      <c r="C707">
        <v>1338532</v>
      </c>
      <c r="D707">
        <v>1353330</v>
      </c>
      <c r="E707" t="str">
        <f>HYPERLINK("http://imap3images.s3-website-us-east-1.amazonaws.com/1353330/p/imap_app_photo_1688500880807.jpg", "View")</f>
        <v>View</v>
      </c>
      <c r="F707" t="s">
        <v>56</v>
      </c>
      <c r="G707" t="s">
        <v>205</v>
      </c>
      <c r="H707">
        <v>64540</v>
      </c>
      <c r="I707" t="str">
        <f>HYPERLINK("https://www.inaturalist.org/taxa/64540-Celastrus-orbiculatus", "View")</f>
        <v>View</v>
      </c>
      <c r="J707" t="s">
        <v>56</v>
      </c>
      <c r="K707" t="s">
        <v>57</v>
      </c>
      <c r="L707">
        <v>64540</v>
      </c>
      <c r="M707">
        <v>10.25</v>
      </c>
      <c r="N707">
        <v>99.39</v>
      </c>
      <c r="P707">
        <v>1</v>
      </c>
      <c r="R707" t="s">
        <v>23</v>
      </c>
      <c r="S707" t="s">
        <v>24</v>
      </c>
      <c r="T707" t="s">
        <v>316</v>
      </c>
    </row>
    <row r="708" spans="1:20" x14ac:dyDescent="0.25">
      <c r="A708">
        <v>7</v>
      </c>
      <c r="B708" t="str">
        <f>HYPERLINK("https://imapinvasives.natureserve.org/imap/services/page/Presence/1145600.html", "View")</f>
        <v>View</v>
      </c>
      <c r="C708">
        <v>1145600</v>
      </c>
      <c r="D708">
        <v>1152132</v>
      </c>
      <c r="E708" t="str">
        <f>HYPERLINK("http://imap3images.s3-website-us-east-1.amazonaws.com/1152132/p/imap_app_photo_1623519647275.jpg", "View")</f>
        <v>View</v>
      </c>
      <c r="F708" t="s">
        <v>56</v>
      </c>
      <c r="G708" t="s">
        <v>205</v>
      </c>
      <c r="H708">
        <v>64540</v>
      </c>
      <c r="I708" t="str">
        <f>HYPERLINK("https://www.inaturalist.org/taxa/64540-Celastrus-orbiculatus", "View")</f>
        <v>View</v>
      </c>
      <c r="J708" t="s">
        <v>56</v>
      </c>
      <c r="K708" t="s">
        <v>57</v>
      </c>
      <c r="L708">
        <v>64540</v>
      </c>
      <c r="M708">
        <v>5.6</v>
      </c>
      <c r="N708">
        <v>99.59</v>
      </c>
      <c r="P708">
        <v>1</v>
      </c>
      <c r="R708" t="s">
        <v>23</v>
      </c>
      <c r="S708" t="s">
        <v>24</v>
      </c>
      <c r="T708" t="s">
        <v>316</v>
      </c>
    </row>
    <row r="709" spans="1:20" x14ac:dyDescent="0.25">
      <c r="A709">
        <v>8</v>
      </c>
      <c r="B709" t="str">
        <f>HYPERLINK("https://imapinvasives.natureserve.org/imap/services/page/Presence/1157711.html", "View")</f>
        <v>View</v>
      </c>
      <c r="C709">
        <v>1157711</v>
      </c>
      <c r="D709">
        <v>1164764</v>
      </c>
      <c r="E709" t="str">
        <f>HYPERLINK("http://imap3images.s3-website-us-east-1.amazonaws.com/1164764/p/imap_app_photo_1628700260337.jpg", "View")</f>
        <v>View</v>
      </c>
      <c r="F709" t="s">
        <v>56</v>
      </c>
      <c r="G709" t="s">
        <v>205</v>
      </c>
      <c r="H709">
        <v>64540</v>
      </c>
      <c r="I709" t="str">
        <f>HYPERLINK("https://www.inaturalist.org/taxa/54811-Rhamnus-cathartica", "View")</f>
        <v>View</v>
      </c>
      <c r="J709" t="s">
        <v>47</v>
      </c>
      <c r="K709" t="s">
        <v>49</v>
      </c>
      <c r="L709">
        <v>54811</v>
      </c>
      <c r="M709">
        <v>42.17</v>
      </c>
      <c r="N709">
        <v>22.85</v>
      </c>
      <c r="P709">
        <v>0</v>
      </c>
      <c r="R709" t="s">
        <v>40</v>
      </c>
      <c r="S709" t="s">
        <v>28</v>
      </c>
      <c r="T709" t="s">
        <v>317</v>
      </c>
    </row>
    <row r="710" spans="1:20" x14ac:dyDescent="0.25">
      <c r="A710">
        <v>9</v>
      </c>
      <c r="B710" t="str">
        <f>HYPERLINK("https://imapinvasives.natureserve.org/imap/services/page/Presence/1435971.html", "View")</f>
        <v>View</v>
      </c>
      <c r="C710">
        <v>1435971</v>
      </c>
      <c r="D710">
        <v>1449742</v>
      </c>
      <c r="E710" t="str">
        <f>HYPERLINK("http://imap3images.s3-website-us-east-1.amazonaws.com/1449742/p/Photo_1.jpg", "View")</f>
        <v>View</v>
      </c>
      <c r="F710" t="s">
        <v>56</v>
      </c>
      <c r="G710" t="s">
        <v>205</v>
      </c>
      <c r="H710">
        <v>64540</v>
      </c>
      <c r="I710" t="str">
        <f>HYPERLINK("https://www.inaturalist.org/taxa/64540-Celastrus-orbiculatus", "View")</f>
        <v>View</v>
      </c>
      <c r="J710" t="s">
        <v>56</v>
      </c>
      <c r="K710" t="s">
        <v>57</v>
      </c>
      <c r="L710">
        <v>64540</v>
      </c>
      <c r="M710">
        <v>65.88</v>
      </c>
      <c r="N710">
        <v>99.75</v>
      </c>
      <c r="P710">
        <v>1</v>
      </c>
      <c r="R710" t="s">
        <v>23</v>
      </c>
      <c r="S710" t="s">
        <v>24</v>
      </c>
      <c r="T710" t="s">
        <v>316</v>
      </c>
    </row>
    <row r="711" spans="1:20" x14ac:dyDescent="0.25">
      <c r="A711">
        <v>10</v>
      </c>
      <c r="B711" t="str">
        <f>HYPERLINK("https://imapinvasives.natureserve.org/imap/services/page/Presence/1023131.html", "View")</f>
        <v>View</v>
      </c>
      <c r="C711">
        <v>1023131</v>
      </c>
      <c r="D711">
        <v>1023702</v>
      </c>
      <c r="E711" t="str">
        <f>HYPERLINK("http://imap3images.s3-website-us-east-1.amazonaws.com/1023702/p/Photo2-20180618-145656.jpg", "View")</f>
        <v>View</v>
      </c>
      <c r="F711" t="s">
        <v>56</v>
      </c>
      <c r="G711" t="s">
        <v>205</v>
      </c>
      <c r="H711">
        <v>64540</v>
      </c>
      <c r="I711" t="str">
        <f>HYPERLINK("https://www.inaturalist.org/taxa/64540-Celastrus-orbiculatus", "View")</f>
        <v>View</v>
      </c>
      <c r="J711" t="s">
        <v>56</v>
      </c>
      <c r="K711" t="s">
        <v>57</v>
      </c>
      <c r="L711">
        <v>64540</v>
      </c>
      <c r="M711">
        <v>69.599999999999994</v>
      </c>
      <c r="N711">
        <v>99.9</v>
      </c>
      <c r="P711">
        <v>1</v>
      </c>
      <c r="R711" t="s">
        <v>23</v>
      </c>
      <c r="S711" t="s">
        <v>24</v>
      </c>
      <c r="T711" t="s">
        <v>316</v>
      </c>
    </row>
    <row r="712" spans="1:20" x14ac:dyDescent="0.25">
      <c r="A712">
        <v>11</v>
      </c>
      <c r="B712" t="str">
        <f>HYPERLINK("https://imapinvasives.natureserve.org/imap/services/page/Presence/1021576.html", "View")</f>
        <v>View</v>
      </c>
      <c r="C712">
        <v>1021576</v>
      </c>
      <c r="D712">
        <v>1022118</v>
      </c>
      <c r="E712" t="str">
        <f>HYPERLINK("http://imap3images.s3-website-us-east-1.amazonaws.com/1022118/p/DSCN9099.JPG", "View")</f>
        <v>View</v>
      </c>
      <c r="F712" t="s">
        <v>56</v>
      </c>
      <c r="G712" t="s">
        <v>205</v>
      </c>
      <c r="H712">
        <v>64540</v>
      </c>
      <c r="I712" t="str">
        <f>HYPERLINK("https://www.inaturalist.org/taxa/64540-Celastrus-orbiculatus", "View")</f>
        <v>View</v>
      </c>
      <c r="J712" t="s">
        <v>56</v>
      </c>
      <c r="K712" t="s">
        <v>57</v>
      </c>
      <c r="L712">
        <v>64540</v>
      </c>
      <c r="M712">
        <v>24.61</v>
      </c>
      <c r="N712">
        <v>61.55</v>
      </c>
      <c r="P712">
        <v>1</v>
      </c>
      <c r="R712" t="s">
        <v>23</v>
      </c>
      <c r="S712" t="s">
        <v>24</v>
      </c>
      <c r="T712" t="s">
        <v>316</v>
      </c>
    </row>
    <row r="713" spans="1:20" x14ac:dyDescent="0.25">
      <c r="A713">
        <v>12</v>
      </c>
      <c r="B713" t="str">
        <f>HYPERLINK("https://imapinvasives.natureserve.org/imap/services/page/Presence/1026792.html", "View")</f>
        <v>View</v>
      </c>
      <c r="C713">
        <v>1026792</v>
      </c>
      <c r="D713">
        <v>1027955</v>
      </c>
      <c r="E713" t="str">
        <f>HYPERLINK("http://imap3images.s3-website-us-east-1.amazonaws.com/1027955/p/imap_app_photo_1566575312527.jpg", "View")</f>
        <v>View</v>
      </c>
      <c r="F713" t="s">
        <v>56</v>
      </c>
      <c r="G713" t="s">
        <v>205</v>
      </c>
      <c r="H713">
        <v>64540</v>
      </c>
      <c r="I713" t="str">
        <f>HYPERLINK("https://www.inaturalist.org/taxa/64540-Celastrus-orbiculatus", "View")</f>
        <v>View</v>
      </c>
      <c r="J713" t="s">
        <v>56</v>
      </c>
      <c r="K713" t="s">
        <v>57</v>
      </c>
      <c r="L713">
        <v>64540</v>
      </c>
      <c r="M713">
        <v>3</v>
      </c>
      <c r="N713">
        <v>91.08</v>
      </c>
      <c r="P713">
        <v>1</v>
      </c>
      <c r="R713" t="s">
        <v>23</v>
      </c>
      <c r="S713" t="s">
        <v>24</v>
      </c>
      <c r="T713" t="s">
        <v>316</v>
      </c>
    </row>
    <row r="714" spans="1:20" x14ac:dyDescent="0.25">
      <c r="A714">
        <v>13</v>
      </c>
      <c r="B714" t="str">
        <f>HYPERLINK("https://imapinvasives.natureserve.org/imap/services/page/Presence/1046836.html", "View")</f>
        <v>View</v>
      </c>
      <c r="C714">
        <v>1046836</v>
      </c>
      <c r="D714">
        <v>1050775</v>
      </c>
      <c r="E714" t="str">
        <f>HYPERLINK("http://imap3images.s3-website-us-east-1.amazonaws.com/1050775/p/imap_app_photo_1590275505865.jpg", "View")</f>
        <v>View</v>
      </c>
      <c r="F714" t="s">
        <v>56</v>
      </c>
      <c r="G714" t="s">
        <v>205</v>
      </c>
      <c r="H714">
        <v>64540</v>
      </c>
      <c r="I714" t="str">
        <f>HYPERLINK("https://www.inaturalist.org/taxa/824442-Populus-suaveolens", "View")</f>
        <v>View</v>
      </c>
      <c r="J714" t="s">
        <v>208</v>
      </c>
      <c r="K714" t="s">
        <v>209</v>
      </c>
      <c r="L714">
        <v>824442</v>
      </c>
      <c r="M714">
        <v>0</v>
      </c>
      <c r="N714">
        <v>85.4</v>
      </c>
      <c r="P714">
        <v>0</v>
      </c>
      <c r="R714" t="s">
        <v>29</v>
      </c>
      <c r="S714" t="s">
        <v>24</v>
      </c>
      <c r="T714" t="s">
        <v>316</v>
      </c>
    </row>
    <row r="715" spans="1:20" x14ac:dyDescent="0.25">
      <c r="A715">
        <v>14</v>
      </c>
      <c r="B715" t="str">
        <f>HYPERLINK("https://imapinvasives.natureserve.org/imap/services/page/Presence/1023400.html", "View")</f>
        <v>View</v>
      </c>
      <c r="C715">
        <v>1023400</v>
      </c>
      <c r="D715">
        <v>1023978</v>
      </c>
      <c r="E715" t="str">
        <f>HYPERLINK("http://imap3images.s3-website-us-east-1.amazonaws.com/1023978/p/imap_app_photo_1564089800620.jpg", "View")</f>
        <v>View</v>
      </c>
      <c r="F715" t="s">
        <v>56</v>
      </c>
      <c r="G715" t="s">
        <v>205</v>
      </c>
      <c r="H715">
        <v>64540</v>
      </c>
      <c r="I715" t="str">
        <f>HYPERLINK("https://www.inaturalist.org/taxa/64540-Celastrus-orbiculatus", "View")</f>
        <v>View</v>
      </c>
      <c r="J715" t="s">
        <v>56</v>
      </c>
      <c r="K715" t="s">
        <v>57</v>
      </c>
      <c r="L715">
        <v>64540</v>
      </c>
      <c r="M715">
        <v>12.38</v>
      </c>
      <c r="N715">
        <v>99.38</v>
      </c>
      <c r="P715">
        <v>1</v>
      </c>
      <c r="R715" t="s">
        <v>23</v>
      </c>
      <c r="S715" t="s">
        <v>24</v>
      </c>
      <c r="T715" t="s">
        <v>316</v>
      </c>
    </row>
    <row r="716" spans="1:20" x14ac:dyDescent="0.25">
      <c r="A716">
        <v>15</v>
      </c>
      <c r="B716" t="str">
        <f>HYPERLINK("https://imapinvasives.natureserve.org/imap/services/page/Presence/1015345.html", "View")</f>
        <v>View</v>
      </c>
      <c r="C716">
        <v>1015345</v>
      </c>
      <c r="D716">
        <v>1015706</v>
      </c>
      <c r="E716" t="str">
        <f>HYPERLINK("http://imap3images.s3-website-us-east-1.amazonaws.com/1015706/p/imap_app_photo_1559244986538.jpg", "View")</f>
        <v>View</v>
      </c>
      <c r="F716" t="s">
        <v>56</v>
      </c>
      <c r="G716" t="s">
        <v>205</v>
      </c>
      <c r="H716">
        <v>64540</v>
      </c>
      <c r="I716" t="str">
        <f>HYPERLINK("https://www.inaturalist.org/taxa/62772-Aristolochia-macrophylla", "View")</f>
        <v>View</v>
      </c>
      <c r="J716" t="s">
        <v>210</v>
      </c>
      <c r="K716" t="s">
        <v>211</v>
      </c>
      <c r="L716">
        <v>62772</v>
      </c>
      <c r="M716">
        <v>1.84</v>
      </c>
      <c r="N716">
        <v>77.95</v>
      </c>
      <c r="P716">
        <v>0</v>
      </c>
      <c r="R716" t="s">
        <v>29</v>
      </c>
      <c r="S716" t="s">
        <v>33</v>
      </c>
      <c r="T716" t="s">
        <v>317</v>
      </c>
    </row>
    <row r="717" spans="1:20" x14ac:dyDescent="0.25">
      <c r="A717">
        <v>16</v>
      </c>
      <c r="B717" t="str">
        <f>HYPERLINK("https://imapinvasives.natureserve.org/imap/services/page/Presence/1274093.html", "View")</f>
        <v>View</v>
      </c>
      <c r="C717">
        <v>1274093</v>
      </c>
      <c r="D717">
        <v>1284156</v>
      </c>
      <c r="E717" t="str">
        <f>HYPERLINK("http://imap3images.s3-website-us-east-1.amazonaws.com/1284156/p/FA0ED2E3-1F7F-4E9D-A81D-8145D123FBE9.jpeg", "View")</f>
        <v>View</v>
      </c>
      <c r="F717" t="s">
        <v>56</v>
      </c>
      <c r="G717" t="s">
        <v>205</v>
      </c>
      <c r="H717">
        <v>64540</v>
      </c>
      <c r="I717" t="str">
        <f>HYPERLINK("https://www.inaturalist.org/taxa/371663-Scrophularia-scopolii", "View")</f>
        <v>View</v>
      </c>
      <c r="J717" t="s">
        <v>212</v>
      </c>
      <c r="K717" t="s">
        <v>213</v>
      </c>
      <c r="L717">
        <v>371663</v>
      </c>
      <c r="M717">
        <v>0</v>
      </c>
      <c r="N717">
        <v>4.58</v>
      </c>
      <c r="P717">
        <v>0</v>
      </c>
      <c r="R717" t="s">
        <v>29</v>
      </c>
      <c r="S717" t="s">
        <v>28</v>
      </c>
      <c r="T717" t="s">
        <v>317</v>
      </c>
    </row>
    <row r="718" spans="1:20" x14ac:dyDescent="0.25">
      <c r="A718">
        <v>17</v>
      </c>
      <c r="B718" t="str">
        <f>HYPERLINK("https://imapinvasives.natureserve.org/imap/services/page/Presence/1062990.html", "View")</f>
        <v>View</v>
      </c>
      <c r="C718">
        <v>1062990</v>
      </c>
      <c r="D718">
        <v>1067660</v>
      </c>
      <c r="E718" t="str">
        <f>HYPERLINK("http://imap3images.s3-website-us-east-1.amazonaws.com/1067660/p/imap_app_photo_1597424899759.jpg", "View")</f>
        <v>View</v>
      </c>
      <c r="F718" t="s">
        <v>56</v>
      </c>
      <c r="G718" t="s">
        <v>205</v>
      </c>
      <c r="H718">
        <v>64540</v>
      </c>
      <c r="I718" t="str">
        <f>HYPERLINK("https://www.inaturalist.org/taxa/64540-Celastrus-orbiculatus", "View")</f>
        <v>View</v>
      </c>
      <c r="J718" t="s">
        <v>56</v>
      </c>
      <c r="K718" t="s">
        <v>57</v>
      </c>
      <c r="L718">
        <v>64540</v>
      </c>
      <c r="M718">
        <v>8.24</v>
      </c>
      <c r="N718">
        <v>85.07</v>
      </c>
      <c r="P718">
        <v>1</v>
      </c>
      <c r="R718" t="s">
        <v>23</v>
      </c>
      <c r="S718" t="s">
        <v>24</v>
      </c>
      <c r="T718" t="s">
        <v>316</v>
      </c>
    </row>
    <row r="719" spans="1:20" x14ac:dyDescent="0.25">
      <c r="A719">
        <v>18</v>
      </c>
      <c r="B719" t="str">
        <f>HYPERLINK("https://imapinvasives.natureserve.org/imap/services/page/Presence/1393631.html", "View")</f>
        <v>View</v>
      </c>
      <c r="C719">
        <v>1393631</v>
      </c>
      <c r="D719">
        <v>1411850</v>
      </c>
      <c r="E719" t="str">
        <f>HYPERLINK("http://imap3images.s3-website-us-east-1.amazonaws.com/1411850/p/Photo_1.jpg", "View")</f>
        <v>View</v>
      </c>
      <c r="F719" t="s">
        <v>56</v>
      </c>
      <c r="G719" t="s">
        <v>205</v>
      </c>
      <c r="H719">
        <v>64540</v>
      </c>
      <c r="I719" t="str">
        <f>HYPERLINK("https://www.inaturalist.org/taxa/163502-Haematoxylum-campechianum", "View")</f>
        <v>View</v>
      </c>
      <c r="J719" t="s">
        <v>214</v>
      </c>
      <c r="K719" t="s">
        <v>215</v>
      </c>
      <c r="L719">
        <v>163502</v>
      </c>
      <c r="M719">
        <v>0</v>
      </c>
      <c r="N719">
        <v>4.3899999999999997</v>
      </c>
      <c r="P719">
        <v>0</v>
      </c>
      <c r="R719" t="s">
        <v>40</v>
      </c>
      <c r="S719" t="s">
        <v>79</v>
      </c>
      <c r="T719" t="s">
        <v>317</v>
      </c>
    </row>
    <row r="720" spans="1:20" x14ac:dyDescent="0.25">
      <c r="A720">
        <v>19</v>
      </c>
      <c r="B720" t="str">
        <f>HYPERLINK("https://imapinvasives.natureserve.org/imap/services/page/Presence/1343272.html", "View")</f>
        <v>View</v>
      </c>
      <c r="C720">
        <v>1343272</v>
      </c>
      <c r="D720">
        <v>1358818</v>
      </c>
      <c r="E720" t="str">
        <f>HYPERLINK("http://imap3images.s3-website-us-east-1.amazonaws.com/1358818/p/Photo_2.jpg", "View")</f>
        <v>View</v>
      </c>
      <c r="F720" t="s">
        <v>56</v>
      </c>
      <c r="G720" t="s">
        <v>205</v>
      </c>
      <c r="H720">
        <v>64540</v>
      </c>
      <c r="I720" t="str">
        <f>HYPERLINK("https://www.inaturalist.org/taxa/64540-Celastrus-orbiculatus", "View")</f>
        <v>View</v>
      </c>
      <c r="J720" t="s">
        <v>56</v>
      </c>
      <c r="K720" t="s">
        <v>57</v>
      </c>
      <c r="L720">
        <v>64540</v>
      </c>
      <c r="M720">
        <v>12.38</v>
      </c>
      <c r="N720">
        <v>87.21</v>
      </c>
      <c r="P720">
        <v>1</v>
      </c>
      <c r="R720" t="s">
        <v>23</v>
      </c>
      <c r="S720" t="s">
        <v>24</v>
      </c>
      <c r="T720" t="s">
        <v>316</v>
      </c>
    </row>
    <row r="721" spans="1:20" x14ac:dyDescent="0.25">
      <c r="A721">
        <v>20</v>
      </c>
      <c r="B721" t="str">
        <f>HYPERLINK("https://imapinvasives.natureserve.org/imap/services/page/Presence/1037897.html", "View")</f>
        <v>View</v>
      </c>
      <c r="C721">
        <v>1037897</v>
      </c>
      <c r="D721">
        <v>1041238</v>
      </c>
      <c r="E721" t="str">
        <f>HYPERLINK("http://imap3images.s3-website-us-east-1.amazonaws.com/1041238/p/imap_app_photo_1575227202817.jpg", "View")</f>
        <v>View</v>
      </c>
      <c r="F721" t="s">
        <v>56</v>
      </c>
      <c r="G721" t="s">
        <v>205</v>
      </c>
      <c r="H721">
        <v>64540</v>
      </c>
      <c r="I721" t="str">
        <f>HYPERLINK("https://www.inaturalist.org/taxa/63567-Picea-abies", "View")</f>
        <v>View</v>
      </c>
      <c r="J721" t="s">
        <v>216</v>
      </c>
      <c r="K721" t="s">
        <v>217</v>
      </c>
      <c r="L721">
        <v>63567</v>
      </c>
      <c r="M721">
        <v>14.02</v>
      </c>
      <c r="N721">
        <v>57.33</v>
      </c>
      <c r="P721">
        <v>0</v>
      </c>
      <c r="R721" t="s">
        <v>40</v>
      </c>
      <c r="S721" t="s">
        <v>64</v>
      </c>
      <c r="T721" t="s">
        <v>317</v>
      </c>
    </row>
    <row r="722" spans="1:20" x14ac:dyDescent="0.25">
      <c r="A722">
        <v>21</v>
      </c>
      <c r="B722" t="str">
        <f>HYPERLINK("https://imapinvasives.natureserve.org/imap/services/page/Presence/1281905.html", "View")</f>
        <v>View</v>
      </c>
      <c r="C722">
        <v>1281905</v>
      </c>
      <c r="D722">
        <v>1291338</v>
      </c>
      <c r="E722" t="str">
        <f>HYPERLINK("http://imap3images.s3-website-us-east-1.amazonaws.com/1291338/p/imap_app_photo_1657463634081.jpg", "View")</f>
        <v>View</v>
      </c>
      <c r="F722" t="s">
        <v>56</v>
      </c>
      <c r="G722" t="s">
        <v>205</v>
      </c>
      <c r="H722">
        <v>64540</v>
      </c>
      <c r="I722" t="str">
        <f>HYPERLINK("https://www.inaturalist.org/taxa/64538-Celastrus-scandens", "View")</f>
        <v>View</v>
      </c>
      <c r="J722" t="s">
        <v>218</v>
      </c>
      <c r="K722" t="s">
        <v>219</v>
      </c>
      <c r="L722">
        <v>64538</v>
      </c>
      <c r="M722">
        <v>12.95</v>
      </c>
      <c r="N722">
        <v>50.03</v>
      </c>
      <c r="P722">
        <v>0</v>
      </c>
      <c r="R722" t="s">
        <v>29</v>
      </c>
      <c r="S722" t="s">
        <v>79</v>
      </c>
      <c r="T722" t="s">
        <v>317</v>
      </c>
    </row>
    <row r="723" spans="1:20" x14ac:dyDescent="0.25">
      <c r="A723">
        <v>22</v>
      </c>
      <c r="B723" t="str">
        <f>HYPERLINK("https://imapinvasives.natureserve.org/imap/services/page/Presence/1057696.html", "View")</f>
        <v>View</v>
      </c>
      <c r="C723">
        <v>1057696</v>
      </c>
      <c r="D723">
        <v>1062216</v>
      </c>
      <c r="E723" t="str">
        <f>HYPERLINK("http://imap3images.s3-website-us-east-1.amazonaws.com/1062216/p/imap_app_photo_1595454746790.jpg", "View")</f>
        <v>View</v>
      </c>
      <c r="F723" t="s">
        <v>56</v>
      </c>
      <c r="G723" t="s">
        <v>205</v>
      </c>
      <c r="H723">
        <v>64540</v>
      </c>
      <c r="I723" t="str">
        <f t="shared" ref="I723:I734" si="32">HYPERLINK("https://www.inaturalist.org/taxa/64540-Celastrus-orbiculatus", "View")</f>
        <v>View</v>
      </c>
      <c r="J723" t="s">
        <v>56</v>
      </c>
      <c r="K723" t="s">
        <v>57</v>
      </c>
      <c r="L723">
        <v>64540</v>
      </c>
      <c r="M723">
        <v>13.3</v>
      </c>
      <c r="N723">
        <v>95.83</v>
      </c>
      <c r="P723">
        <v>1</v>
      </c>
      <c r="R723" t="s">
        <v>23</v>
      </c>
      <c r="S723" t="s">
        <v>24</v>
      </c>
      <c r="T723" t="s">
        <v>316</v>
      </c>
    </row>
    <row r="724" spans="1:20" x14ac:dyDescent="0.25">
      <c r="A724">
        <v>23</v>
      </c>
      <c r="B724" t="str">
        <f>HYPERLINK("https://imapinvasives.natureserve.org/imap/services/page/Presence/1031030.html", "View")</f>
        <v>View</v>
      </c>
      <c r="C724">
        <v>1031030</v>
      </c>
      <c r="D724">
        <v>1032461</v>
      </c>
      <c r="E724" t="str">
        <f>HYPERLINK("http://imap3images.s3-website-us-east-1.amazonaws.com/1032461/p/imap_app_photo_1568152370837.jpg", "View")</f>
        <v>View</v>
      </c>
      <c r="F724" t="s">
        <v>56</v>
      </c>
      <c r="G724" t="s">
        <v>205</v>
      </c>
      <c r="H724">
        <v>64540</v>
      </c>
      <c r="I724" t="str">
        <f t="shared" si="32"/>
        <v>View</v>
      </c>
      <c r="J724" t="s">
        <v>56</v>
      </c>
      <c r="K724" t="s">
        <v>57</v>
      </c>
      <c r="L724">
        <v>64540</v>
      </c>
      <c r="M724">
        <v>88.3</v>
      </c>
      <c r="N724">
        <v>98.51</v>
      </c>
      <c r="P724">
        <v>1</v>
      </c>
      <c r="R724" t="s">
        <v>23</v>
      </c>
      <c r="S724" t="s">
        <v>24</v>
      </c>
      <c r="T724" t="s">
        <v>316</v>
      </c>
    </row>
    <row r="725" spans="1:20" x14ac:dyDescent="0.25">
      <c r="A725">
        <v>24</v>
      </c>
      <c r="B725" t="str">
        <f>HYPERLINK("https://imapinvasives.natureserve.org/imap/services/page/Presence/1439318.html", "View")</f>
        <v>View</v>
      </c>
      <c r="C725">
        <v>1439318</v>
      </c>
      <c r="D725">
        <v>1453729</v>
      </c>
      <c r="E725" t="str">
        <f>HYPERLINK("http://imap3images.s3-website-us-east-1.amazonaws.com/1453729/p/Photo_1-2.jpg", "View")</f>
        <v>View</v>
      </c>
      <c r="F725" t="s">
        <v>56</v>
      </c>
      <c r="G725" t="s">
        <v>205</v>
      </c>
      <c r="H725">
        <v>64540</v>
      </c>
      <c r="I725" t="str">
        <f t="shared" si="32"/>
        <v>View</v>
      </c>
      <c r="J725" t="s">
        <v>56</v>
      </c>
      <c r="K725" t="s">
        <v>57</v>
      </c>
      <c r="L725">
        <v>64540</v>
      </c>
      <c r="M725">
        <v>24.61</v>
      </c>
      <c r="N725">
        <v>63.86</v>
      </c>
      <c r="P725">
        <v>1</v>
      </c>
      <c r="R725" t="s">
        <v>23</v>
      </c>
      <c r="S725" t="s">
        <v>24</v>
      </c>
      <c r="T725" t="s">
        <v>316</v>
      </c>
    </row>
    <row r="726" spans="1:20" x14ac:dyDescent="0.25">
      <c r="A726">
        <v>25</v>
      </c>
      <c r="B726" t="str">
        <f>HYPERLINK("https://imapinvasives.natureserve.org/imap/services/page/Presence/1297294.html", "View")</f>
        <v>View</v>
      </c>
      <c r="C726">
        <v>1297294</v>
      </c>
      <c r="D726">
        <v>1307525</v>
      </c>
      <c r="E726" t="str">
        <f>HYPERLINK("http://imap3images.s3-website-us-east-1.amazonaws.com/1307525/p/imap_app_photo_1664035627024.jpg", "View")</f>
        <v>View</v>
      </c>
      <c r="F726" t="s">
        <v>56</v>
      </c>
      <c r="G726" t="s">
        <v>205</v>
      </c>
      <c r="H726">
        <v>64540</v>
      </c>
      <c r="I726" t="str">
        <f t="shared" si="32"/>
        <v>View</v>
      </c>
      <c r="J726" t="s">
        <v>56</v>
      </c>
      <c r="K726" t="s">
        <v>57</v>
      </c>
      <c r="L726">
        <v>64540</v>
      </c>
      <c r="M726">
        <v>13.91</v>
      </c>
      <c r="N726">
        <v>99.68</v>
      </c>
      <c r="P726">
        <v>1</v>
      </c>
      <c r="R726" t="s">
        <v>23</v>
      </c>
      <c r="S726" t="s">
        <v>24</v>
      </c>
      <c r="T726" t="s">
        <v>316</v>
      </c>
    </row>
    <row r="727" spans="1:20" x14ac:dyDescent="0.25">
      <c r="A727">
        <v>26</v>
      </c>
      <c r="B727" t="str">
        <f>HYPERLINK("https://imapinvasives.natureserve.org/imap/services/page/Presence/1015559.html", "View")</f>
        <v>View</v>
      </c>
      <c r="C727">
        <v>1015559</v>
      </c>
      <c r="D727">
        <v>1015939</v>
      </c>
      <c r="E727" t="str">
        <f>HYPERLINK("http://imap3images.s3-website-us-east-1.amazonaws.com/1015939/p/imap_app_photo_1559251729490.jpg", "View")</f>
        <v>View</v>
      </c>
      <c r="F727" t="s">
        <v>56</v>
      </c>
      <c r="G727" t="s">
        <v>205</v>
      </c>
      <c r="H727">
        <v>64540</v>
      </c>
      <c r="I727" t="str">
        <f t="shared" si="32"/>
        <v>View</v>
      </c>
      <c r="J727" t="s">
        <v>56</v>
      </c>
      <c r="K727" t="s">
        <v>57</v>
      </c>
      <c r="L727">
        <v>64540</v>
      </c>
      <c r="M727">
        <v>27.38</v>
      </c>
      <c r="N727">
        <v>99.64</v>
      </c>
      <c r="P727">
        <v>1</v>
      </c>
      <c r="R727" t="s">
        <v>23</v>
      </c>
      <c r="S727" t="s">
        <v>24</v>
      </c>
      <c r="T727" t="s">
        <v>316</v>
      </c>
    </row>
    <row r="728" spans="1:20" x14ac:dyDescent="0.25">
      <c r="A728">
        <v>27</v>
      </c>
      <c r="B728" t="str">
        <f>HYPERLINK("https://imapinvasives.natureserve.org/imap/services/page/Presence/1057132.html", "View")</f>
        <v>View</v>
      </c>
      <c r="C728">
        <v>1057132</v>
      </c>
      <c r="D728">
        <v>1061635</v>
      </c>
      <c r="E728" t="str">
        <f>HYPERLINK("http://imap3images.s3-website-us-east-1.amazonaws.com/1061635/p/imap_app_photo_1595343396519.jpg", "View")</f>
        <v>View</v>
      </c>
      <c r="F728" t="s">
        <v>56</v>
      </c>
      <c r="G728" t="s">
        <v>205</v>
      </c>
      <c r="H728">
        <v>64540</v>
      </c>
      <c r="I728" t="str">
        <f t="shared" si="32"/>
        <v>View</v>
      </c>
      <c r="J728" t="s">
        <v>56</v>
      </c>
      <c r="K728" t="s">
        <v>57</v>
      </c>
      <c r="L728">
        <v>64540</v>
      </c>
      <c r="M728">
        <v>7.13</v>
      </c>
      <c r="N728">
        <v>97.95</v>
      </c>
      <c r="P728">
        <v>1</v>
      </c>
      <c r="R728" t="s">
        <v>23</v>
      </c>
      <c r="S728" t="s">
        <v>24</v>
      </c>
      <c r="T728" t="s">
        <v>316</v>
      </c>
    </row>
    <row r="729" spans="1:20" x14ac:dyDescent="0.25">
      <c r="A729">
        <v>28</v>
      </c>
      <c r="B729" t="str">
        <f>HYPERLINK("https://imapinvasives.natureserve.org/imap/services/page/Presence/1331879.html", "View")</f>
        <v>View</v>
      </c>
      <c r="C729">
        <v>1331879</v>
      </c>
      <c r="D729">
        <v>1345468</v>
      </c>
      <c r="E729" t="str">
        <f>HYPERLINK("http://imap3images.s3-website-us-east-1.amazonaws.com/1345468/p/imap_app_photo_1684897420389.jpg", "View")</f>
        <v>View</v>
      </c>
      <c r="F729" t="s">
        <v>56</v>
      </c>
      <c r="G729" t="s">
        <v>205</v>
      </c>
      <c r="H729">
        <v>64540</v>
      </c>
      <c r="I729" t="str">
        <f t="shared" si="32"/>
        <v>View</v>
      </c>
      <c r="J729" t="s">
        <v>56</v>
      </c>
      <c r="K729" t="s">
        <v>57</v>
      </c>
      <c r="L729">
        <v>64540</v>
      </c>
      <c r="M729">
        <v>68.739999999999995</v>
      </c>
      <c r="N729">
        <v>99.95</v>
      </c>
      <c r="P729">
        <v>1</v>
      </c>
      <c r="R729" t="s">
        <v>23</v>
      </c>
      <c r="S729" t="s">
        <v>24</v>
      </c>
      <c r="T729" t="s">
        <v>316</v>
      </c>
    </row>
    <row r="730" spans="1:20" x14ac:dyDescent="0.25">
      <c r="A730">
        <v>29</v>
      </c>
      <c r="B730" t="str">
        <f>HYPERLINK("https://imapinvasives.natureserve.org/imap/services/page/Presence/1026573.html", "View")</f>
        <v>View</v>
      </c>
      <c r="C730">
        <v>1026573</v>
      </c>
      <c r="D730">
        <v>1027703</v>
      </c>
      <c r="E730" t="str">
        <f>HYPERLINK("http://imap3images.s3-website-us-east-1.amazonaws.com/1027703/p/DSCN8259.JPG", "View")</f>
        <v>View</v>
      </c>
      <c r="F730" t="s">
        <v>56</v>
      </c>
      <c r="G730" t="s">
        <v>205</v>
      </c>
      <c r="H730">
        <v>64540</v>
      </c>
      <c r="I730" t="str">
        <f t="shared" si="32"/>
        <v>View</v>
      </c>
      <c r="J730" t="s">
        <v>56</v>
      </c>
      <c r="K730" t="s">
        <v>57</v>
      </c>
      <c r="L730">
        <v>64540</v>
      </c>
      <c r="M730">
        <v>23.65</v>
      </c>
      <c r="N730">
        <v>99.33</v>
      </c>
      <c r="P730">
        <v>1</v>
      </c>
      <c r="R730" t="s">
        <v>23</v>
      </c>
      <c r="S730" t="s">
        <v>24</v>
      </c>
      <c r="T730" t="s">
        <v>316</v>
      </c>
    </row>
    <row r="731" spans="1:20" x14ac:dyDescent="0.25">
      <c r="A731">
        <v>30</v>
      </c>
      <c r="B731" t="str">
        <f>HYPERLINK("https://imapinvasives.natureserve.org/imap/services/page/Presence/511745.html", "View")</f>
        <v>View</v>
      </c>
      <c r="C731">
        <v>511745</v>
      </c>
      <c r="D731">
        <v>511745</v>
      </c>
      <c r="E731" t="str">
        <f>HYPERLINK("http://imap3images.s3-website-us-east-1.amazonaws.com/511745/p/photourl1_2017_06_07_tonbeane_57m7xvbo.jpg", "View")</f>
        <v>View</v>
      </c>
      <c r="F731" t="s">
        <v>56</v>
      </c>
      <c r="G731" t="s">
        <v>205</v>
      </c>
      <c r="H731">
        <v>64540</v>
      </c>
      <c r="I731" t="str">
        <f t="shared" si="32"/>
        <v>View</v>
      </c>
      <c r="J731" t="s">
        <v>56</v>
      </c>
      <c r="K731" t="s">
        <v>57</v>
      </c>
      <c r="L731">
        <v>64540</v>
      </c>
      <c r="M731">
        <v>22.61</v>
      </c>
      <c r="N731">
        <v>54.28</v>
      </c>
      <c r="P731">
        <v>1</v>
      </c>
      <c r="R731" t="s">
        <v>23</v>
      </c>
      <c r="S731" t="s">
        <v>24</v>
      </c>
      <c r="T731" t="s">
        <v>316</v>
      </c>
    </row>
    <row r="732" spans="1:20" x14ac:dyDescent="0.25">
      <c r="A732">
        <v>31</v>
      </c>
      <c r="B732" t="str">
        <f>HYPERLINK("https://imapinvasives.natureserve.org/imap/services/page/Presence/1297347.html", "View")</f>
        <v>View</v>
      </c>
      <c r="C732">
        <v>1297347</v>
      </c>
      <c r="D732">
        <v>1307583</v>
      </c>
      <c r="E732" t="str">
        <f>HYPERLINK("http://imap3images.s3-website-us-east-1.amazonaws.com/1307583/p/imap_app_photo_1664127591452.jpg", "View")</f>
        <v>View</v>
      </c>
      <c r="F732" t="s">
        <v>56</v>
      </c>
      <c r="G732" t="s">
        <v>205</v>
      </c>
      <c r="H732">
        <v>64540</v>
      </c>
      <c r="I732" t="str">
        <f t="shared" si="32"/>
        <v>View</v>
      </c>
      <c r="J732" t="s">
        <v>56</v>
      </c>
      <c r="K732" t="s">
        <v>57</v>
      </c>
      <c r="L732">
        <v>64540</v>
      </c>
      <c r="M732">
        <v>8.24</v>
      </c>
      <c r="N732">
        <v>38.61</v>
      </c>
      <c r="P732">
        <v>1</v>
      </c>
      <c r="R732" t="s">
        <v>23</v>
      </c>
      <c r="S732" t="s">
        <v>33</v>
      </c>
      <c r="T732" t="s">
        <v>317</v>
      </c>
    </row>
    <row r="733" spans="1:20" x14ac:dyDescent="0.25">
      <c r="A733">
        <v>32</v>
      </c>
      <c r="B733" t="str">
        <f>HYPERLINK("https://imapinvasives.natureserve.org/imap/services/page/Presence/1417243.html", "View")</f>
        <v>View</v>
      </c>
      <c r="C733">
        <v>1417243</v>
      </c>
      <c r="D733">
        <v>1430891</v>
      </c>
      <c r="E733" t="str">
        <f>HYPERLINK("http://imap3images.s3-website-us-east-1.amazonaws.com/1430891/p/imap_app_photo_1720636390177.jpg", "View")</f>
        <v>View</v>
      </c>
      <c r="F733" t="s">
        <v>56</v>
      </c>
      <c r="G733" t="s">
        <v>205</v>
      </c>
      <c r="H733">
        <v>64540</v>
      </c>
      <c r="I733" t="str">
        <f t="shared" si="32"/>
        <v>View</v>
      </c>
      <c r="J733" t="s">
        <v>56</v>
      </c>
      <c r="K733" t="s">
        <v>57</v>
      </c>
      <c r="L733">
        <v>64540</v>
      </c>
      <c r="M733">
        <v>77.47</v>
      </c>
      <c r="N733">
        <v>96.05</v>
      </c>
      <c r="P733">
        <v>1</v>
      </c>
      <c r="R733" t="s">
        <v>23</v>
      </c>
      <c r="S733" t="s">
        <v>24</v>
      </c>
      <c r="T733" t="s">
        <v>316</v>
      </c>
    </row>
    <row r="734" spans="1:20" x14ac:dyDescent="0.25">
      <c r="A734">
        <v>33</v>
      </c>
      <c r="B734" t="str">
        <f>HYPERLINK("https://imapinvasives.natureserve.org/imap/services/page/Presence/527376.html", "View")</f>
        <v>View</v>
      </c>
      <c r="C734">
        <v>527376</v>
      </c>
      <c r="D734">
        <v>527376</v>
      </c>
      <c r="E734" t="str">
        <f>HYPERLINK("http://imap3images.s3-website-us-east-1.amazonaws.com/527376/p/photourl1_2018_06_21_falneske_o5t76ryc.jpg", "View")</f>
        <v>View</v>
      </c>
      <c r="F734" t="s">
        <v>56</v>
      </c>
      <c r="G734" t="s">
        <v>205</v>
      </c>
      <c r="H734">
        <v>64540</v>
      </c>
      <c r="I734" t="str">
        <f t="shared" si="32"/>
        <v>View</v>
      </c>
      <c r="J734" t="s">
        <v>56</v>
      </c>
      <c r="K734" t="s">
        <v>57</v>
      </c>
      <c r="L734">
        <v>64540</v>
      </c>
      <c r="M734">
        <v>74.56</v>
      </c>
      <c r="N734">
        <v>92.32</v>
      </c>
      <c r="P734">
        <v>1</v>
      </c>
      <c r="R734" t="s">
        <v>23</v>
      </c>
      <c r="S734" t="s">
        <v>24</v>
      </c>
      <c r="T734" t="s">
        <v>316</v>
      </c>
    </row>
    <row r="735" spans="1:20" x14ac:dyDescent="0.25">
      <c r="A735">
        <v>34</v>
      </c>
      <c r="B735" t="str">
        <f>HYPERLINK("https://imapinvasives.natureserve.org/imap/services/page/Presence/1026279.html", "View")</f>
        <v>View</v>
      </c>
      <c r="C735">
        <v>1026279</v>
      </c>
      <c r="D735">
        <v>1027237</v>
      </c>
      <c r="E735" t="str">
        <f>HYPERLINK("http://imap3images.s3-website-us-east-1.amazonaws.com/1027237/p/imap_app_photo_1565917201125.jpg", "View")</f>
        <v>View</v>
      </c>
      <c r="F735" t="s">
        <v>56</v>
      </c>
      <c r="G735" t="s">
        <v>205</v>
      </c>
      <c r="H735">
        <v>64540</v>
      </c>
      <c r="I735" t="str">
        <f>HYPERLINK("https://www.inaturalist.org/taxa/54802-Nyssa-sylvatica", "View")</f>
        <v>View</v>
      </c>
      <c r="J735" t="s">
        <v>37</v>
      </c>
      <c r="K735" t="s">
        <v>38</v>
      </c>
      <c r="L735">
        <v>54802</v>
      </c>
      <c r="M735">
        <v>14.84</v>
      </c>
      <c r="N735">
        <v>52.51</v>
      </c>
      <c r="P735">
        <v>0</v>
      </c>
      <c r="R735" t="s">
        <v>29</v>
      </c>
      <c r="S735" t="s">
        <v>39</v>
      </c>
      <c r="T735" t="s">
        <v>317</v>
      </c>
    </row>
    <row r="736" spans="1:20" x14ac:dyDescent="0.25">
      <c r="A736">
        <v>35</v>
      </c>
      <c r="B736" t="str">
        <f>HYPERLINK("https://imapinvasives.natureserve.org/imap/services/page/Presence/1042876.html", "View")</f>
        <v>View</v>
      </c>
      <c r="C736">
        <v>1042876</v>
      </c>
      <c r="D736">
        <v>1046725</v>
      </c>
      <c r="E736" t="str">
        <f>HYPERLINK("http://imap3images.s3-website-us-east-1.amazonaws.com/1046725/p/Celastrus_orbiculatus_location.jpg", "View")</f>
        <v>View</v>
      </c>
      <c r="F736" t="s">
        <v>56</v>
      </c>
      <c r="G736" t="s">
        <v>205</v>
      </c>
      <c r="H736">
        <v>64540</v>
      </c>
      <c r="I736" t="str">
        <f>HYPERLINK("https://www.inaturalist.org/taxa/64540-Celastrus-orbiculatus", "View")</f>
        <v>View</v>
      </c>
      <c r="J736" t="s">
        <v>56</v>
      </c>
      <c r="K736" t="s">
        <v>57</v>
      </c>
      <c r="L736">
        <v>64540</v>
      </c>
      <c r="M736">
        <v>86.94</v>
      </c>
      <c r="N736">
        <v>62.02</v>
      </c>
      <c r="P736">
        <v>1</v>
      </c>
      <c r="R736" t="s">
        <v>23</v>
      </c>
      <c r="S736" t="s">
        <v>33</v>
      </c>
      <c r="T736" t="s">
        <v>317</v>
      </c>
    </row>
    <row r="737" spans="1:20" x14ac:dyDescent="0.25">
      <c r="A737">
        <v>36</v>
      </c>
      <c r="B737" t="str">
        <f>HYPERLINK("https://imapinvasives.natureserve.org/imap/services/page/Presence/519074.html", "View")</f>
        <v>View</v>
      </c>
      <c r="C737">
        <v>519074</v>
      </c>
      <c r="D737">
        <v>519074</v>
      </c>
      <c r="E737" t="str">
        <f>HYPERLINK("http://imap3images.s3-website-us-east-1.amazonaws.com/519074/p/photourl1_2018_11_01_linrohleder_z1wfa95s.jpg", "View")</f>
        <v>View</v>
      </c>
      <c r="F737" t="s">
        <v>56</v>
      </c>
      <c r="G737" t="s">
        <v>205</v>
      </c>
      <c r="H737">
        <v>64540</v>
      </c>
      <c r="I737" t="str">
        <f>HYPERLINK("https://www.inaturalist.org/taxa/64540-Celastrus-orbiculatus", "View")</f>
        <v>View</v>
      </c>
      <c r="J737" t="s">
        <v>56</v>
      </c>
      <c r="K737" t="s">
        <v>57</v>
      </c>
      <c r="L737">
        <v>64540</v>
      </c>
      <c r="M737">
        <v>82.05</v>
      </c>
      <c r="N737">
        <v>99.75</v>
      </c>
      <c r="P737">
        <v>1</v>
      </c>
      <c r="R737" t="s">
        <v>23</v>
      </c>
      <c r="S737" t="s">
        <v>24</v>
      </c>
      <c r="T737" t="s">
        <v>316</v>
      </c>
    </row>
    <row r="738" spans="1:20" x14ac:dyDescent="0.25">
      <c r="A738">
        <v>37</v>
      </c>
      <c r="B738" t="str">
        <f>HYPERLINK("https://imapinvasives.natureserve.org/imap/services/page/Presence/1047717.html", "View")</f>
        <v>View</v>
      </c>
      <c r="C738">
        <v>1047717</v>
      </c>
      <c r="D738">
        <v>1051710</v>
      </c>
      <c r="E738" t="str">
        <f>HYPERLINK("http://imap3images.s3-website-us-east-1.amazonaws.com/1051710/p/imap_app_photo_1591136383663.jpg", "View")</f>
        <v>View</v>
      </c>
      <c r="F738" t="s">
        <v>56</v>
      </c>
      <c r="G738" t="s">
        <v>205</v>
      </c>
      <c r="H738">
        <v>64540</v>
      </c>
      <c r="I738" t="str">
        <f>HYPERLINK("https://www.inaturalist.org/taxa/64540-Celastrus-orbiculatus", "View")</f>
        <v>View</v>
      </c>
      <c r="J738" t="s">
        <v>56</v>
      </c>
      <c r="K738" t="s">
        <v>57</v>
      </c>
      <c r="L738">
        <v>64540</v>
      </c>
      <c r="M738">
        <v>43.79</v>
      </c>
      <c r="N738">
        <v>98.06</v>
      </c>
      <c r="P738">
        <v>1</v>
      </c>
      <c r="R738" t="s">
        <v>23</v>
      </c>
      <c r="S738" t="s">
        <v>24</v>
      </c>
      <c r="T738" t="s">
        <v>316</v>
      </c>
    </row>
    <row r="739" spans="1:20" x14ac:dyDescent="0.25">
      <c r="A739">
        <v>38</v>
      </c>
      <c r="B739" t="str">
        <f>HYPERLINK("https://imapinvasives.natureserve.org/imap/services/page/Presence/511170.html", "View")</f>
        <v>View</v>
      </c>
      <c r="C739">
        <v>511170</v>
      </c>
      <c r="D739">
        <v>511170</v>
      </c>
      <c r="E739" t="str">
        <f>HYPERLINK("http://imap3images.s3-website-us-east-1.amazonaws.com/511170/p/photourl1_2017_05_23_sgms_oh1mb44z.jpg", "View")</f>
        <v>View</v>
      </c>
      <c r="F739" t="s">
        <v>56</v>
      </c>
      <c r="G739" t="s">
        <v>205</v>
      </c>
      <c r="H739">
        <v>64540</v>
      </c>
      <c r="I739" t="str">
        <f>HYPERLINK("https://www.inaturalist.org/taxa/56090-Morus-alba", "View")</f>
        <v>View</v>
      </c>
      <c r="J739" t="s">
        <v>220</v>
      </c>
      <c r="K739" t="s">
        <v>221</v>
      </c>
      <c r="L739">
        <v>56090</v>
      </c>
      <c r="M739">
        <v>19.04</v>
      </c>
      <c r="N739">
        <v>48.46</v>
      </c>
      <c r="P739">
        <v>0</v>
      </c>
      <c r="R739" t="s">
        <v>29</v>
      </c>
      <c r="S739" t="s">
        <v>33</v>
      </c>
      <c r="T739" t="s">
        <v>317</v>
      </c>
    </row>
    <row r="740" spans="1:20" x14ac:dyDescent="0.25">
      <c r="A740">
        <v>39</v>
      </c>
      <c r="B740" t="str">
        <f>HYPERLINK("https://imapinvasives.natureserve.org/imap/services/page/Presence/1180964.html", "View")</f>
        <v>View</v>
      </c>
      <c r="C740">
        <v>1180964</v>
      </c>
      <c r="D740">
        <v>1188839</v>
      </c>
      <c r="E740" t="str">
        <f>HYPERLINK("http://imap3images.s3-website-us-east-1.amazonaws.com/1188839/p/imap_app_photo_1637103227439.jpg", "View")</f>
        <v>View</v>
      </c>
      <c r="F740" t="s">
        <v>56</v>
      </c>
      <c r="G740" t="s">
        <v>205</v>
      </c>
      <c r="H740">
        <v>64540</v>
      </c>
      <c r="I740" t="str">
        <f>HYPERLINK("https://www.inaturalist.org/taxa/64540-Celastrus-orbiculatus", "View")</f>
        <v>View</v>
      </c>
      <c r="J740" t="s">
        <v>56</v>
      </c>
      <c r="K740" t="s">
        <v>57</v>
      </c>
      <c r="L740">
        <v>64540</v>
      </c>
      <c r="M740">
        <v>13.3</v>
      </c>
      <c r="N740">
        <v>86.95</v>
      </c>
      <c r="P740">
        <v>1</v>
      </c>
      <c r="R740" t="s">
        <v>23</v>
      </c>
      <c r="S740" t="s">
        <v>24</v>
      </c>
      <c r="T740" t="s">
        <v>316</v>
      </c>
    </row>
    <row r="741" spans="1:20" x14ac:dyDescent="0.25">
      <c r="A741">
        <v>40</v>
      </c>
      <c r="B741" t="str">
        <f>HYPERLINK("https://imapinvasives.natureserve.org/imap/services/page/Presence/1152834.html", "View")</f>
        <v>View</v>
      </c>
      <c r="C741">
        <v>1152834</v>
      </c>
      <c r="D741">
        <v>1159782</v>
      </c>
      <c r="E741" t="str">
        <f>HYPERLINK("http://imap3images.s3-website-us-east-1.amazonaws.com/1159782/p/imap_app_photo_1627347069314.jpg", "View")</f>
        <v>View</v>
      </c>
      <c r="F741" t="s">
        <v>56</v>
      </c>
      <c r="G741" t="s">
        <v>205</v>
      </c>
      <c r="H741">
        <v>64540</v>
      </c>
      <c r="I741" t="str">
        <f>HYPERLINK("https://www.inaturalist.org/taxa/64540-Celastrus-orbiculatus", "View")</f>
        <v>View</v>
      </c>
      <c r="J741" t="s">
        <v>56</v>
      </c>
      <c r="K741" t="s">
        <v>57</v>
      </c>
      <c r="L741">
        <v>64540</v>
      </c>
      <c r="M741">
        <v>16.73</v>
      </c>
      <c r="N741">
        <v>99.82</v>
      </c>
      <c r="P741">
        <v>1</v>
      </c>
      <c r="R741" t="s">
        <v>23</v>
      </c>
      <c r="S741" t="s">
        <v>24</v>
      </c>
      <c r="T741" t="s">
        <v>316</v>
      </c>
    </row>
    <row r="742" spans="1:20" x14ac:dyDescent="0.25">
      <c r="A742">
        <v>41</v>
      </c>
      <c r="B742" t="str">
        <f>HYPERLINK("https://imapinvasives.natureserve.org/imap/services/page/Presence/1019577.html", "View")</f>
        <v>View</v>
      </c>
      <c r="C742">
        <v>1019577</v>
      </c>
      <c r="D742">
        <v>1020103</v>
      </c>
      <c r="E742" t="str">
        <f>HYPERLINK("http://imap3images.s3-website-us-east-1.amazonaws.com/1020103/p/Photo1-20181017-134917.jpg", "View")</f>
        <v>View</v>
      </c>
      <c r="F742" t="s">
        <v>56</v>
      </c>
      <c r="G742" t="s">
        <v>205</v>
      </c>
      <c r="H742">
        <v>64540</v>
      </c>
      <c r="I742" t="str">
        <f>HYPERLINK("https://www.inaturalist.org/taxa/64540-Celastrus-orbiculatus", "View")</f>
        <v>View</v>
      </c>
      <c r="J742" t="s">
        <v>56</v>
      </c>
      <c r="K742" t="s">
        <v>57</v>
      </c>
      <c r="L742">
        <v>64540</v>
      </c>
      <c r="M742">
        <v>27.02</v>
      </c>
      <c r="N742">
        <v>69.39</v>
      </c>
      <c r="P742">
        <v>1</v>
      </c>
      <c r="R742" t="s">
        <v>23</v>
      </c>
      <c r="S742" t="s">
        <v>79</v>
      </c>
      <c r="T742" t="s">
        <v>317</v>
      </c>
    </row>
    <row r="743" spans="1:20" x14ac:dyDescent="0.25">
      <c r="A743">
        <v>42</v>
      </c>
      <c r="B743" t="str">
        <f>HYPERLINK("https://imapinvasives.natureserve.org/imap/services/page/Presence/1068726.html", "View")</f>
        <v>View</v>
      </c>
      <c r="C743">
        <v>1068726</v>
      </c>
      <c r="D743">
        <v>1073560</v>
      </c>
      <c r="E743" t="str">
        <f>HYPERLINK("http://imap3images.s3-website-us-east-1.amazonaws.com/1073560/p/imap_app_photo_1599830592370.jpg", "View")</f>
        <v>View</v>
      </c>
      <c r="F743" t="s">
        <v>56</v>
      </c>
      <c r="G743" t="s">
        <v>205</v>
      </c>
      <c r="H743">
        <v>64540</v>
      </c>
      <c r="I743" t="str">
        <f>HYPERLINK("https://www.inaturalist.org/taxa/64540-Celastrus-orbiculatus", "View")</f>
        <v>View</v>
      </c>
      <c r="J743" t="s">
        <v>56</v>
      </c>
      <c r="K743" t="s">
        <v>57</v>
      </c>
      <c r="L743">
        <v>64540</v>
      </c>
      <c r="M743">
        <v>9.33</v>
      </c>
      <c r="N743">
        <v>37.24</v>
      </c>
      <c r="P743">
        <v>1</v>
      </c>
      <c r="R743" t="s">
        <v>23</v>
      </c>
      <c r="S743" t="s">
        <v>79</v>
      </c>
      <c r="T743" t="s">
        <v>317</v>
      </c>
    </row>
    <row r="744" spans="1:20" x14ac:dyDescent="0.25">
      <c r="A744">
        <v>43</v>
      </c>
      <c r="B744" t="str">
        <f>HYPERLINK("https://imapinvasives.natureserve.org/imap/services/page/Presence/1334754.html", "View")</f>
        <v>View</v>
      </c>
      <c r="C744">
        <v>1334754</v>
      </c>
      <c r="D744">
        <v>1348938</v>
      </c>
      <c r="E744" t="str">
        <f>HYPERLINK("http://imap3images.s3-website-us-east-1.amazonaws.com/1348938/p/Photo2-20230607-151717.jpg", "View")</f>
        <v>View</v>
      </c>
      <c r="F744" t="s">
        <v>56</v>
      </c>
      <c r="G744" t="s">
        <v>205</v>
      </c>
      <c r="H744">
        <v>64540</v>
      </c>
      <c r="I744" t="str">
        <f>HYPERLINK("https://www.inaturalist.org/taxa/58727-Berberis-thunbergii", "View")</f>
        <v>View</v>
      </c>
      <c r="J744" t="s">
        <v>113</v>
      </c>
      <c r="K744" t="s">
        <v>114</v>
      </c>
      <c r="L744">
        <v>58727</v>
      </c>
      <c r="M744">
        <v>14.68</v>
      </c>
      <c r="N744">
        <v>65.62</v>
      </c>
      <c r="P744">
        <v>0</v>
      </c>
      <c r="R744" t="s">
        <v>29</v>
      </c>
      <c r="S744" t="s">
        <v>28</v>
      </c>
      <c r="T744" t="s">
        <v>317</v>
      </c>
    </row>
    <row r="745" spans="1:20" x14ac:dyDescent="0.25">
      <c r="A745">
        <v>44</v>
      </c>
      <c r="B745" t="str">
        <f>HYPERLINK("https://imapinvasives.natureserve.org/imap/services/page/Presence/333338.html", "View")</f>
        <v>View</v>
      </c>
      <c r="C745">
        <v>333338</v>
      </c>
      <c r="D745">
        <v>333338</v>
      </c>
      <c r="E745" t="str">
        <f>HYPERLINK("http://imap3images.s3-website-us-east-1.amazonaws.com/333338/p/NY-313945U_celastrus_orbiculata,_celastrus_orbiculatus_normal_g87d50ojd3lk1idzn4g.jpg", "View")</f>
        <v>View</v>
      </c>
      <c r="F745" t="s">
        <v>56</v>
      </c>
      <c r="G745" t="s">
        <v>205</v>
      </c>
      <c r="H745">
        <v>64540</v>
      </c>
      <c r="I745" t="str">
        <f t="shared" ref="I745:I750" si="33">HYPERLINK("https://www.inaturalist.org/taxa/64540-Celastrus-orbiculatus", "View")</f>
        <v>View</v>
      </c>
      <c r="J745" t="s">
        <v>56</v>
      </c>
      <c r="K745" t="s">
        <v>57</v>
      </c>
      <c r="L745">
        <v>64540</v>
      </c>
      <c r="M745">
        <v>85.3</v>
      </c>
      <c r="N745">
        <v>32.69</v>
      </c>
      <c r="P745">
        <v>1</v>
      </c>
      <c r="R745" t="s">
        <v>23</v>
      </c>
      <c r="S745" t="s">
        <v>33</v>
      </c>
      <c r="T745" t="s">
        <v>317</v>
      </c>
    </row>
    <row r="746" spans="1:20" x14ac:dyDescent="0.25">
      <c r="A746">
        <v>45</v>
      </c>
      <c r="B746" t="str">
        <f>HYPERLINK("https://imapinvasives.natureserve.org/imap/services/page/Presence/1279966.html", "View")</f>
        <v>View</v>
      </c>
      <c r="C746">
        <v>1279966</v>
      </c>
      <c r="D746">
        <v>1289332</v>
      </c>
      <c r="E746" t="str">
        <f>HYPERLINK("http://imap3images.s3-website-us-east-1.amazonaws.com/1289332/p/imap_app_photo_1656338295815.jpg", "View")</f>
        <v>View</v>
      </c>
      <c r="F746" t="s">
        <v>56</v>
      </c>
      <c r="G746" t="s">
        <v>205</v>
      </c>
      <c r="H746">
        <v>64540</v>
      </c>
      <c r="I746" t="str">
        <f t="shared" si="33"/>
        <v>View</v>
      </c>
      <c r="J746" t="s">
        <v>56</v>
      </c>
      <c r="K746" t="s">
        <v>57</v>
      </c>
      <c r="L746">
        <v>64540</v>
      </c>
      <c r="M746">
        <v>9.5299999999999994</v>
      </c>
      <c r="N746">
        <v>90.99</v>
      </c>
      <c r="P746">
        <v>1</v>
      </c>
      <c r="R746" t="s">
        <v>23</v>
      </c>
      <c r="S746" t="s">
        <v>24</v>
      </c>
      <c r="T746" t="s">
        <v>316</v>
      </c>
    </row>
    <row r="747" spans="1:20" x14ac:dyDescent="0.25">
      <c r="A747">
        <v>46</v>
      </c>
      <c r="B747" t="str">
        <f>HYPERLINK("https://imapinvasives.natureserve.org/imap/services/page/Presence/497646.html", "View")</f>
        <v>View</v>
      </c>
      <c r="C747">
        <v>497646</v>
      </c>
      <c r="D747">
        <v>497646</v>
      </c>
      <c r="E747" t="str">
        <f>HYPERLINK("http://imap3images.s3-website-us-east-1.amazonaws.com/497646/p/photourl1_2016_11_09_krigilbert_m7r80hzr.jpg", "View")</f>
        <v>View</v>
      </c>
      <c r="F747" t="s">
        <v>56</v>
      </c>
      <c r="G747" t="s">
        <v>205</v>
      </c>
      <c r="H747">
        <v>64540</v>
      </c>
      <c r="I747" t="str">
        <f t="shared" si="33"/>
        <v>View</v>
      </c>
      <c r="J747" t="s">
        <v>56</v>
      </c>
      <c r="K747" t="s">
        <v>57</v>
      </c>
      <c r="L747">
        <v>64540</v>
      </c>
      <c r="M747">
        <v>10.52</v>
      </c>
      <c r="N747">
        <v>69.900000000000006</v>
      </c>
      <c r="P747">
        <v>1</v>
      </c>
      <c r="R747" t="s">
        <v>23</v>
      </c>
      <c r="S747" t="s">
        <v>24</v>
      </c>
      <c r="T747" t="s">
        <v>316</v>
      </c>
    </row>
    <row r="748" spans="1:20" x14ac:dyDescent="0.25">
      <c r="A748">
        <v>47</v>
      </c>
      <c r="B748" t="str">
        <f>HYPERLINK("https://imapinvasives.natureserve.org/imap/services/page/Presence/515894.html", "View")</f>
        <v>View</v>
      </c>
      <c r="C748">
        <v>515894</v>
      </c>
      <c r="D748">
        <v>515894</v>
      </c>
      <c r="E748" t="str">
        <f>HYPERLINK("http://imap3images.s3-website-us-east-1.amazonaws.com/515894/p/photourl1_2017_10_11_elifisher_rqhi1b5c.jpg", "View")</f>
        <v>View</v>
      </c>
      <c r="F748" t="s">
        <v>56</v>
      </c>
      <c r="G748" t="s">
        <v>205</v>
      </c>
      <c r="H748">
        <v>64540</v>
      </c>
      <c r="I748" t="str">
        <f t="shared" si="33"/>
        <v>View</v>
      </c>
      <c r="J748" t="s">
        <v>56</v>
      </c>
      <c r="K748" t="s">
        <v>57</v>
      </c>
      <c r="L748">
        <v>64540</v>
      </c>
      <c r="M748">
        <v>8.36</v>
      </c>
      <c r="N748">
        <v>82.76</v>
      </c>
      <c r="P748">
        <v>1</v>
      </c>
      <c r="R748" t="s">
        <v>23</v>
      </c>
      <c r="S748" t="s">
        <v>24</v>
      </c>
      <c r="T748" t="s">
        <v>316</v>
      </c>
    </row>
    <row r="749" spans="1:20" x14ac:dyDescent="0.25">
      <c r="A749">
        <v>48</v>
      </c>
      <c r="B749" t="str">
        <f>HYPERLINK("https://imapinvasives.natureserve.org/imap/services/page/Presence/1309236.html", "View")</f>
        <v>View</v>
      </c>
      <c r="C749">
        <v>1309236</v>
      </c>
      <c r="D749">
        <v>1319772</v>
      </c>
      <c r="E749" t="str">
        <f>HYPERLINK("http://imap3images.s3-website-us-east-1.amazonaws.com/1319772/p/Photo_1.jpg", "View")</f>
        <v>View</v>
      </c>
      <c r="F749" t="s">
        <v>56</v>
      </c>
      <c r="G749" t="s">
        <v>205</v>
      </c>
      <c r="H749">
        <v>64540</v>
      </c>
      <c r="I749" t="str">
        <f t="shared" si="33"/>
        <v>View</v>
      </c>
      <c r="J749" t="s">
        <v>56</v>
      </c>
      <c r="K749" t="s">
        <v>57</v>
      </c>
      <c r="L749">
        <v>64540</v>
      </c>
      <c r="M749">
        <v>43.72</v>
      </c>
      <c r="N749">
        <v>95.05</v>
      </c>
      <c r="P749">
        <v>1</v>
      </c>
      <c r="R749" t="s">
        <v>23</v>
      </c>
      <c r="S749" t="s">
        <v>79</v>
      </c>
      <c r="T749" t="s">
        <v>317</v>
      </c>
    </row>
    <row r="750" spans="1:20" x14ac:dyDescent="0.25">
      <c r="A750">
        <v>49</v>
      </c>
      <c r="B750" t="str">
        <f>HYPERLINK("https://imapinvasives.natureserve.org/imap/services/page/Presence/1014132.html", "View")</f>
        <v>View</v>
      </c>
      <c r="C750">
        <v>1014132</v>
      </c>
      <c r="D750">
        <v>1014396</v>
      </c>
      <c r="E750" t="str">
        <f>HYPERLINK("http://imap3images.s3-website-us-east-1.amazonaws.com/1014396/p/imap_app_photo_1558557410945.jpg", "View")</f>
        <v>View</v>
      </c>
      <c r="F750" t="s">
        <v>56</v>
      </c>
      <c r="G750" t="s">
        <v>205</v>
      </c>
      <c r="H750">
        <v>64540</v>
      </c>
      <c r="I750" t="str">
        <f t="shared" si="33"/>
        <v>View</v>
      </c>
      <c r="J750" t="s">
        <v>56</v>
      </c>
      <c r="K750" t="s">
        <v>57</v>
      </c>
      <c r="L750">
        <v>64540</v>
      </c>
      <c r="M750">
        <v>43.79</v>
      </c>
      <c r="N750">
        <v>94.79</v>
      </c>
      <c r="P750">
        <v>1</v>
      </c>
      <c r="R750" t="s">
        <v>23</v>
      </c>
      <c r="S750" t="s">
        <v>24</v>
      </c>
      <c r="T750" t="s">
        <v>316</v>
      </c>
    </row>
    <row r="751" spans="1:20" x14ac:dyDescent="0.25">
      <c r="A751">
        <v>50</v>
      </c>
      <c r="B751" t="str">
        <f>HYPERLINK("https://imapinvasives.natureserve.org/imap/services/page/Presence/1272806.html", "View")</f>
        <v>View</v>
      </c>
      <c r="C751">
        <v>1272806</v>
      </c>
      <c r="D751">
        <v>1281902</v>
      </c>
      <c r="E751" t="str">
        <f>HYPERLINK("http://imap3images.s3-website-us-east-1.amazonaws.com/1281902/p/imap_app_photo_1653516586675.jpg", "View")</f>
        <v>View</v>
      </c>
      <c r="F751" t="s">
        <v>56</v>
      </c>
      <c r="G751" t="s">
        <v>205</v>
      </c>
      <c r="H751">
        <v>64540</v>
      </c>
      <c r="I751" t="str">
        <f>HYPERLINK("https://www.inaturalist.org/taxa/61445-Acanthocephala-terminalis", "View")</f>
        <v>View</v>
      </c>
      <c r="J751" t="s">
        <v>222</v>
      </c>
      <c r="K751" t="s">
        <v>94</v>
      </c>
      <c r="L751">
        <v>61445</v>
      </c>
      <c r="M751">
        <v>44.76</v>
      </c>
      <c r="N751">
        <v>31.1</v>
      </c>
      <c r="P751">
        <v>0</v>
      </c>
      <c r="R751" t="s">
        <v>29</v>
      </c>
      <c r="S751" t="s">
        <v>24</v>
      </c>
      <c r="T751" t="s">
        <v>316</v>
      </c>
    </row>
    <row r="752" spans="1:20" x14ac:dyDescent="0.25">
      <c r="A752">
        <v>51</v>
      </c>
      <c r="B752" t="str">
        <f>HYPERLINK("https://imapinvasives.natureserve.org/imap/services/page/Presence/1411281.html", "View")</f>
        <v>View</v>
      </c>
      <c r="C752">
        <v>1411281</v>
      </c>
      <c r="D752">
        <v>1423849</v>
      </c>
      <c r="E752" t="str">
        <f>HYPERLINK("http://imap3images.s3-website-us-east-1.amazonaws.com/1423849/p/IMG_4403.jpeg", "View")</f>
        <v>View</v>
      </c>
      <c r="F752" t="s">
        <v>56</v>
      </c>
      <c r="G752" t="s">
        <v>205</v>
      </c>
      <c r="H752">
        <v>64540</v>
      </c>
      <c r="I752" t="str">
        <f>HYPERLINK("https://www.inaturalist.org/taxa/632667-Vincetoxicum-rossicum", "View")</f>
        <v>View</v>
      </c>
      <c r="J752" t="s">
        <v>183</v>
      </c>
      <c r="K752" t="s">
        <v>184</v>
      </c>
      <c r="L752">
        <v>632667</v>
      </c>
      <c r="M752">
        <v>28.02</v>
      </c>
      <c r="N752">
        <v>5.59</v>
      </c>
      <c r="P752">
        <v>0</v>
      </c>
      <c r="R752" t="s">
        <v>40</v>
      </c>
      <c r="S752" t="s">
        <v>33</v>
      </c>
      <c r="T752" t="s">
        <v>317</v>
      </c>
    </row>
    <row r="753" spans="1:20" x14ac:dyDescent="0.25">
      <c r="A753">
        <v>52</v>
      </c>
      <c r="B753" t="str">
        <f>HYPERLINK("https://imapinvasives.natureserve.org/imap/services/page/Presence/1410834.html", "View")</f>
        <v>View</v>
      </c>
      <c r="C753">
        <v>1410834</v>
      </c>
      <c r="D753">
        <v>1423374</v>
      </c>
      <c r="E753" t="str">
        <f>HYPERLINK("http://imap3images.s3-website-us-east-1.amazonaws.com/1423374/p/imap_app_photo_1717893800462.jpg", "View")</f>
        <v>View</v>
      </c>
      <c r="F753" t="s">
        <v>56</v>
      </c>
      <c r="G753" t="s">
        <v>205</v>
      </c>
      <c r="H753">
        <v>64540</v>
      </c>
      <c r="I753" t="str">
        <f>HYPERLINK("https://www.inaturalist.org/taxa/64540-Celastrus-orbiculatus", "View")</f>
        <v>View</v>
      </c>
      <c r="J753" t="s">
        <v>56</v>
      </c>
      <c r="K753" t="s">
        <v>57</v>
      </c>
      <c r="L753">
        <v>64540</v>
      </c>
      <c r="M753">
        <v>89.98</v>
      </c>
      <c r="N753">
        <v>97.85</v>
      </c>
      <c r="P753">
        <v>1</v>
      </c>
      <c r="R753" t="s">
        <v>23</v>
      </c>
      <c r="S753" t="s">
        <v>24</v>
      </c>
      <c r="T753" t="s">
        <v>316</v>
      </c>
    </row>
    <row r="754" spans="1:20" x14ac:dyDescent="0.25">
      <c r="A754">
        <v>53</v>
      </c>
      <c r="B754" t="str">
        <f>HYPERLINK("https://imapinvasives.natureserve.org/imap/services/page/Presence/1061432.html", "View")</f>
        <v>View</v>
      </c>
      <c r="C754">
        <v>1061432</v>
      </c>
      <c r="D754">
        <v>1065970</v>
      </c>
      <c r="E754" t="str">
        <f>HYPERLINK("http://imap3images.s3-website-us-east-1.amazonaws.com/1065970/p/0803200949a.jpg", "View")</f>
        <v>View</v>
      </c>
      <c r="F754" t="s">
        <v>56</v>
      </c>
      <c r="G754" t="s">
        <v>205</v>
      </c>
      <c r="H754">
        <v>64540</v>
      </c>
      <c r="I754" t="str">
        <f t="shared" ref="I754:I762" si="34">HYPERLINK("https://www.inaturalist.org/taxa/64540-Celastrus-orbiculatus", "View")</f>
        <v>View</v>
      </c>
      <c r="J754" t="s">
        <v>56</v>
      </c>
      <c r="K754" t="s">
        <v>57</v>
      </c>
      <c r="L754">
        <v>64540</v>
      </c>
      <c r="M754">
        <v>12.38</v>
      </c>
      <c r="N754">
        <v>98.88</v>
      </c>
      <c r="P754">
        <v>1</v>
      </c>
      <c r="R754" t="s">
        <v>23</v>
      </c>
      <c r="S754" t="s">
        <v>24</v>
      </c>
      <c r="T754" t="s">
        <v>316</v>
      </c>
    </row>
    <row r="755" spans="1:20" x14ac:dyDescent="0.25">
      <c r="A755">
        <v>54</v>
      </c>
      <c r="B755" t="str">
        <f>HYPERLINK("https://imapinvasives.natureserve.org/imap/services/page/Presence/1409357.html", "View")</f>
        <v>View</v>
      </c>
      <c r="C755">
        <v>1409357</v>
      </c>
      <c r="D755">
        <v>1421760</v>
      </c>
      <c r="E755" t="str">
        <f>HYPERLINK("http://imap3images.s3-website-us-east-1.amazonaws.com/1421760/p/20240524_130438.jpg", "View")</f>
        <v>View</v>
      </c>
      <c r="F755" t="s">
        <v>56</v>
      </c>
      <c r="G755" t="s">
        <v>205</v>
      </c>
      <c r="H755">
        <v>64540</v>
      </c>
      <c r="I755" t="str">
        <f t="shared" si="34"/>
        <v>View</v>
      </c>
      <c r="J755" t="s">
        <v>56</v>
      </c>
      <c r="K755" t="s">
        <v>57</v>
      </c>
      <c r="L755">
        <v>64540</v>
      </c>
      <c r="M755">
        <v>7.13</v>
      </c>
      <c r="N755">
        <v>61.52</v>
      </c>
      <c r="P755">
        <v>1</v>
      </c>
      <c r="R755" t="s">
        <v>23</v>
      </c>
      <c r="S755" t="s">
        <v>24</v>
      </c>
      <c r="T755" t="s">
        <v>316</v>
      </c>
    </row>
    <row r="756" spans="1:20" x14ac:dyDescent="0.25">
      <c r="A756">
        <v>55</v>
      </c>
      <c r="B756" t="str">
        <f>HYPERLINK("https://imapinvasives.natureserve.org/imap/services/page/Presence/1020744.html", "View")</f>
        <v>View</v>
      </c>
      <c r="C756">
        <v>1020744</v>
      </c>
      <c r="D756">
        <v>1021278</v>
      </c>
      <c r="E756" t="str">
        <f>HYPERLINK("http://imap3images.s3-website-us-east-1.amazonaws.com/1021278/p/imap_app_photo_1562946363131.jpg", "View")</f>
        <v>View</v>
      </c>
      <c r="F756" t="s">
        <v>56</v>
      </c>
      <c r="G756" t="s">
        <v>205</v>
      </c>
      <c r="H756">
        <v>64540</v>
      </c>
      <c r="I756" t="str">
        <f t="shared" si="34"/>
        <v>View</v>
      </c>
      <c r="J756" t="s">
        <v>56</v>
      </c>
      <c r="K756" t="s">
        <v>57</v>
      </c>
      <c r="L756">
        <v>64540</v>
      </c>
      <c r="M756">
        <v>52.81</v>
      </c>
      <c r="N756">
        <v>99.9</v>
      </c>
      <c r="P756">
        <v>1</v>
      </c>
      <c r="R756" t="s">
        <v>23</v>
      </c>
      <c r="S756" t="s">
        <v>24</v>
      </c>
      <c r="T756" t="s">
        <v>316</v>
      </c>
    </row>
    <row r="757" spans="1:20" x14ac:dyDescent="0.25">
      <c r="A757">
        <v>56</v>
      </c>
      <c r="B757" t="str">
        <f>HYPERLINK("https://imapinvasives.natureserve.org/imap/services/page/Presence/1042025.html", "View")</f>
        <v>View</v>
      </c>
      <c r="C757">
        <v>1042025</v>
      </c>
      <c r="D757">
        <v>1045865</v>
      </c>
      <c r="E757" t="str">
        <f>HYPERLINK("http://imap3images.s3-website-us-east-1.amazonaws.com/1045865/p/imap_app_photo_1581533606646.jpg", "View")</f>
        <v>View</v>
      </c>
      <c r="F757" t="s">
        <v>56</v>
      </c>
      <c r="G757" t="s">
        <v>205</v>
      </c>
      <c r="H757">
        <v>64540</v>
      </c>
      <c r="I757" t="str">
        <f t="shared" si="34"/>
        <v>View</v>
      </c>
      <c r="J757" t="s">
        <v>56</v>
      </c>
      <c r="K757" t="s">
        <v>57</v>
      </c>
      <c r="L757">
        <v>64540</v>
      </c>
      <c r="M757">
        <v>52.81</v>
      </c>
      <c r="N757">
        <v>97.25</v>
      </c>
      <c r="P757">
        <v>1</v>
      </c>
      <c r="R757" t="s">
        <v>23</v>
      </c>
      <c r="S757" t="s">
        <v>24</v>
      </c>
      <c r="T757" t="s">
        <v>316</v>
      </c>
    </row>
    <row r="758" spans="1:20" x14ac:dyDescent="0.25">
      <c r="A758">
        <v>57</v>
      </c>
      <c r="B758" t="str">
        <f>HYPERLINK("https://imapinvasives.natureserve.org/imap/services/page/Presence/1052603.html", "View")</f>
        <v>View</v>
      </c>
      <c r="C758">
        <v>1052603</v>
      </c>
      <c r="D758">
        <v>1056864</v>
      </c>
      <c r="E758" t="str">
        <f>HYPERLINK("http://imap3images.s3-website-us-east-1.amazonaws.com/1056864/p/imap_app_photo_1593444490580.jpg", "View")</f>
        <v>View</v>
      </c>
      <c r="F758" t="s">
        <v>56</v>
      </c>
      <c r="G758" t="s">
        <v>205</v>
      </c>
      <c r="H758">
        <v>64540</v>
      </c>
      <c r="I758" t="str">
        <f t="shared" si="34"/>
        <v>View</v>
      </c>
      <c r="J758" t="s">
        <v>56</v>
      </c>
      <c r="K758" t="s">
        <v>57</v>
      </c>
      <c r="L758">
        <v>64540</v>
      </c>
      <c r="M758">
        <v>43.79</v>
      </c>
      <c r="N758">
        <v>97.61</v>
      </c>
      <c r="P758">
        <v>1</v>
      </c>
      <c r="R758" t="s">
        <v>23</v>
      </c>
      <c r="S758" t="s">
        <v>24</v>
      </c>
      <c r="T758" t="s">
        <v>316</v>
      </c>
    </row>
    <row r="759" spans="1:20" x14ac:dyDescent="0.25">
      <c r="A759">
        <v>58</v>
      </c>
      <c r="B759" t="str">
        <f>HYPERLINK("https://imapinvasives.natureserve.org/imap/services/page/Presence/1016910.html", "View")</f>
        <v>View</v>
      </c>
      <c r="C759">
        <v>1016910</v>
      </c>
      <c r="D759">
        <v>1017368</v>
      </c>
      <c r="E759" t="str">
        <f>HYPERLINK("http://imap3images.s3-website-us-east-1.amazonaws.com/1017368/p/imap_app_photo_1560371919117.jpg", "View")</f>
        <v>View</v>
      </c>
      <c r="F759" t="s">
        <v>56</v>
      </c>
      <c r="G759" t="s">
        <v>205</v>
      </c>
      <c r="H759">
        <v>64540</v>
      </c>
      <c r="I759" t="str">
        <f t="shared" si="34"/>
        <v>View</v>
      </c>
      <c r="J759" t="s">
        <v>56</v>
      </c>
      <c r="K759" t="s">
        <v>57</v>
      </c>
      <c r="L759">
        <v>64540</v>
      </c>
      <c r="M759">
        <v>47.17</v>
      </c>
      <c r="N759">
        <v>97.5</v>
      </c>
      <c r="P759">
        <v>1</v>
      </c>
      <c r="R759" t="s">
        <v>23</v>
      </c>
      <c r="S759" t="s">
        <v>24</v>
      </c>
      <c r="T759" t="s">
        <v>316</v>
      </c>
    </row>
    <row r="760" spans="1:20" x14ac:dyDescent="0.25">
      <c r="A760">
        <v>59</v>
      </c>
      <c r="B760" t="str">
        <f>HYPERLINK("https://imapinvasives.natureserve.org/imap/services/page/Presence/526925.html", "View")</f>
        <v>View</v>
      </c>
      <c r="C760">
        <v>526925</v>
      </c>
      <c r="D760">
        <v>526925</v>
      </c>
      <c r="E760" t="str">
        <f>HYPERLINK("http://imap3images.s3-website-us-east-1.amazonaws.com/526925/p/photourl1_2018_06_15_lexlill_kch32zaw.jpg", "View")</f>
        <v>View</v>
      </c>
      <c r="F760" t="s">
        <v>56</v>
      </c>
      <c r="G760" t="s">
        <v>205</v>
      </c>
      <c r="H760">
        <v>64540</v>
      </c>
      <c r="I760" t="str">
        <f t="shared" si="34"/>
        <v>View</v>
      </c>
      <c r="J760" t="s">
        <v>56</v>
      </c>
      <c r="K760" t="s">
        <v>57</v>
      </c>
      <c r="L760">
        <v>64540</v>
      </c>
      <c r="M760">
        <v>52.81</v>
      </c>
      <c r="N760">
        <v>85.56</v>
      </c>
      <c r="P760">
        <v>1</v>
      </c>
      <c r="R760" t="s">
        <v>23</v>
      </c>
      <c r="S760" t="s">
        <v>24</v>
      </c>
      <c r="T760" t="s">
        <v>316</v>
      </c>
    </row>
    <row r="761" spans="1:20" x14ac:dyDescent="0.25">
      <c r="A761">
        <v>60</v>
      </c>
      <c r="B761" t="str">
        <f>HYPERLINK("https://imapinvasives.natureserve.org/imap/services/page/Presence/526664.html", "View")</f>
        <v>View</v>
      </c>
      <c r="C761">
        <v>526664</v>
      </c>
      <c r="D761">
        <v>526664</v>
      </c>
      <c r="E761" t="str">
        <f>HYPERLINK("http://imap3images.s3-website-us-east-1.amazonaws.com/526664/p/photourl1_2018_06_14_lexlill_rxy61bxd.jpg", "View")</f>
        <v>View</v>
      </c>
      <c r="F761" t="s">
        <v>56</v>
      </c>
      <c r="G761" t="s">
        <v>205</v>
      </c>
      <c r="H761">
        <v>64540</v>
      </c>
      <c r="I761" t="str">
        <f t="shared" si="34"/>
        <v>View</v>
      </c>
      <c r="J761" t="s">
        <v>56</v>
      </c>
      <c r="K761" t="s">
        <v>57</v>
      </c>
      <c r="L761">
        <v>64540</v>
      </c>
      <c r="M761">
        <v>52.81</v>
      </c>
      <c r="N761">
        <v>98.4</v>
      </c>
      <c r="P761">
        <v>1</v>
      </c>
      <c r="R761" t="s">
        <v>23</v>
      </c>
      <c r="S761" t="s">
        <v>24</v>
      </c>
      <c r="T761" t="s">
        <v>316</v>
      </c>
    </row>
    <row r="762" spans="1:20" x14ac:dyDescent="0.25">
      <c r="A762">
        <v>61</v>
      </c>
      <c r="B762" t="str">
        <f>HYPERLINK("https://imapinvasives.natureserve.org/imap/services/page/Presence/1055661.html", "View")</f>
        <v>View</v>
      </c>
      <c r="C762">
        <v>1055661</v>
      </c>
      <c r="D762">
        <v>1060025</v>
      </c>
      <c r="E762" t="str">
        <f>HYPERLINK("http://imap3images.s3-website-us-east-1.amazonaws.com/1060025/p/imap_app_photo_1594669472859.jpg", "View")</f>
        <v>View</v>
      </c>
      <c r="F762" t="s">
        <v>56</v>
      </c>
      <c r="G762" t="s">
        <v>205</v>
      </c>
      <c r="H762">
        <v>64540</v>
      </c>
      <c r="I762" t="str">
        <f t="shared" si="34"/>
        <v>View</v>
      </c>
      <c r="J762" t="s">
        <v>56</v>
      </c>
      <c r="K762" t="s">
        <v>57</v>
      </c>
      <c r="L762">
        <v>64540</v>
      </c>
      <c r="M762">
        <v>47.17</v>
      </c>
      <c r="N762">
        <v>83.33</v>
      </c>
      <c r="P762">
        <v>1</v>
      </c>
      <c r="R762" t="s">
        <v>23</v>
      </c>
      <c r="S762" t="s">
        <v>24</v>
      </c>
      <c r="T762" t="s">
        <v>316</v>
      </c>
    </row>
    <row r="763" spans="1:20" x14ac:dyDescent="0.25">
      <c r="A763">
        <v>62</v>
      </c>
      <c r="B763" t="str">
        <f>HYPERLINK("https://imapinvasives.natureserve.org/imap/services/page/Presence/1025655.html", "View")</f>
        <v>View</v>
      </c>
      <c r="C763">
        <v>1025655</v>
      </c>
      <c r="D763">
        <v>1026419</v>
      </c>
      <c r="E763" t="str">
        <f>HYPERLINK("http://imap3images.s3-website-us-east-1.amazonaws.com/1026419/p/Photo3-20181016-160011.jpg", "View")</f>
        <v>View</v>
      </c>
      <c r="F763" t="s">
        <v>56</v>
      </c>
      <c r="G763" t="s">
        <v>205</v>
      </c>
      <c r="H763">
        <v>64540</v>
      </c>
      <c r="I763" t="str">
        <f>HYPERLINK("https://www.inaturalist.org/taxa/593914-Searsia-rehmanniana", "View")</f>
        <v>View</v>
      </c>
      <c r="J763" t="s">
        <v>223</v>
      </c>
      <c r="K763" t="s">
        <v>224</v>
      </c>
      <c r="L763">
        <v>593914</v>
      </c>
      <c r="M763">
        <v>0.02</v>
      </c>
      <c r="N763">
        <v>9.56</v>
      </c>
      <c r="P763">
        <v>0</v>
      </c>
      <c r="R763" t="s">
        <v>40</v>
      </c>
      <c r="S763" t="s">
        <v>33</v>
      </c>
      <c r="T763" t="s">
        <v>317</v>
      </c>
    </row>
    <row r="764" spans="1:20" x14ac:dyDescent="0.25">
      <c r="A764">
        <v>63</v>
      </c>
      <c r="B764" t="str">
        <f>HYPERLINK("https://imapinvasives.natureserve.org/imap/services/page/Presence/425129.html", "View")</f>
        <v>View</v>
      </c>
      <c r="C764">
        <v>425129</v>
      </c>
      <c r="D764">
        <v>425129</v>
      </c>
      <c r="E764" t="str">
        <f>HYPERLINK("http://imap3images.s3-website-us-east-1.amazonaws.com/425129/p/photourl1_2014_11_18_kribrewster_i0ykwd84.jpg", "View")</f>
        <v>View</v>
      </c>
      <c r="F764" t="s">
        <v>56</v>
      </c>
      <c r="G764" t="s">
        <v>205</v>
      </c>
      <c r="H764">
        <v>64540</v>
      </c>
      <c r="I764" t="str">
        <f>HYPERLINK("https://www.inaturalist.org/taxa/59773-Lonicera-morrowii", "View")</f>
        <v>View</v>
      </c>
      <c r="J764" t="s">
        <v>185</v>
      </c>
      <c r="K764" t="s">
        <v>186</v>
      </c>
      <c r="L764">
        <v>59773</v>
      </c>
      <c r="M764">
        <v>15.52</v>
      </c>
      <c r="N764">
        <v>23</v>
      </c>
      <c r="P764">
        <v>0</v>
      </c>
      <c r="R764" t="s">
        <v>29</v>
      </c>
      <c r="S764" t="s">
        <v>34</v>
      </c>
      <c r="T764" t="s">
        <v>317</v>
      </c>
    </row>
    <row r="765" spans="1:20" x14ac:dyDescent="0.25">
      <c r="A765">
        <v>64</v>
      </c>
      <c r="B765" t="str">
        <f>HYPERLINK("https://imapinvasives.natureserve.org/imap/services/page/Presence/1281174.html", "View")</f>
        <v>View</v>
      </c>
      <c r="C765">
        <v>1281174</v>
      </c>
      <c r="D765">
        <v>1290588</v>
      </c>
      <c r="E765" t="str">
        <f>HYPERLINK("http://imap3images.s3-website-us-east-1.amazonaws.com/1290588/p/imap_app_photo_1656979448740.jpg", "View")</f>
        <v>View</v>
      </c>
      <c r="F765" t="s">
        <v>56</v>
      </c>
      <c r="G765" t="s">
        <v>205</v>
      </c>
      <c r="H765">
        <v>64540</v>
      </c>
      <c r="I765" t="str">
        <f>HYPERLINK("https://www.inaturalist.org/taxa/64540-Celastrus-orbiculatus", "View")</f>
        <v>View</v>
      </c>
      <c r="J765" t="s">
        <v>56</v>
      </c>
      <c r="K765" t="s">
        <v>57</v>
      </c>
      <c r="L765">
        <v>64540</v>
      </c>
      <c r="M765">
        <v>9.51</v>
      </c>
      <c r="N765">
        <v>42.37</v>
      </c>
      <c r="P765">
        <v>1</v>
      </c>
      <c r="R765" t="s">
        <v>23</v>
      </c>
      <c r="S765" t="s">
        <v>24</v>
      </c>
      <c r="T765" t="s">
        <v>316</v>
      </c>
    </row>
    <row r="766" spans="1:20" x14ac:dyDescent="0.25">
      <c r="A766">
        <v>65</v>
      </c>
      <c r="B766" t="str">
        <f>HYPERLINK("https://imapinvasives.natureserve.org/imap/services/page/Presence/1053293.html", "View")</f>
        <v>View</v>
      </c>
      <c r="C766">
        <v>1053293</v>
      </c>
      <c r="D766">
        <v>1057613</v>
      </c>
      <c r="E766" t="str">
        <f>HYPERLINK("http://imap3images.s3-website-us-east-1.amazonaws.com/1057613/p/imap_app_photo_1593605817644.jpg", "View")</f>
        <v>View</v>
      </c>
      <c r="F766" t="s">
        <v>56</v>
      </c>
      <c r="G766" t="s">
        <v>205</v>
      </c>
      <c r="H766">
        <v>64540</v>
      </c>
      <c r="I766" t="str">
        <f>HYPERLINK("https://www.inaturalist.org/taxa/64540-Celastrus-orbiculatus", "View")</f>
        <v>View</v>
      </c>
      <c r="J766" t="s">
        <v>56</v>
      </c>
      <c r="K766" t="s">
        <v>57</v>
      </c>
      <c r="L766">
        <v>64540</v>
      </c>
      <c r="M766">
        <v>43.79</v>
      </c>
      <c r="N766">
        <v>96.04</v>
      </c>
      <c r="P766">
        <v>1</v>
      </c>
      <c r="R766" t="s">
        <v>23</v>
      </c>
      <c r="S766" t="s">
        <v>24</v>
      </c>
      <c r="T766" t="s">
        <v>316</v>
      </c>
    </row>
    <row r="767" spans="1:20" x14ac:dyDescent="0.25">
      <c r="A767">
        <v>66</v>
      </c>
      <c r="B767" t="str">
        <f>HYPERLINK("https://imapinvasives.natureserve.org/imap/services/page/Presence/1048703.html", "View")</f>
        <v>View</v>
      </c>
      <c r="C767">
        <v>1048703</v>
      </c>
      <c r="D767">
        <v>1052721</v>
      </c>
      <c r="E767" t="str">
        <f>HYPERLINK("http://imap3images.s3-website-us-east-1.amazonaws.com/1052721/p/imap_app_photo_1591637037972.jpg", "View")</f>
        <v>View</v>
      </c>
      <c r="F767" t="s">
        <v>56</v>
      </c>
      <c r="G767" t="s">
        <v>205</v>
      </c>
      <c r="H767">
        <v>64540</v>
      </c>
      <c r="I767" t="str">
        <f>HYPERLINK("https://www.inaturalist.org/taxa/64540-Celastrus-orbiculatus", "View")</f>
        <v>View</v>
      </c>
      <c r="J767" t="s">
        <v>56</v>
      </c>
      <c r="K767" t="s">
        <v>57</v>
      </c>
      <c r="L767">
        <v>64540</v>
      </c>
      <c r="M767">
        <v>43.79</v>
      </c>
      <c r="N767">
        <v>99.92</v>
      </c>
      <c r="P767">
        <v>1</v>
      </c>
      <c r="R767" t="s">
        <v>23</v>
      </c>
      <c r="S767" t="s">
        <v>24</v>
      </c>
      <c r="T767" t="s">
        <v>316</v>
      </c>
    </row>
    <row r="768" spans="1:20" x14ac:dyDescent="0.25">
      <c r="A768">
        <v>67</v>
      </c>
      <c r="B768" t="str">
        <f>HYPERLINK("https://imapinvasives.natureserve.org/imap/services/page/Presence/421539.html", "View")</f>
        <v>View</v>
      </c>
      <c r="C768">
        <v>421539</v>
      </c>
      <c r="D768">
        <v>421539</v>
      </c>
      <c r="E768" t="str">
        <f>HYPERLINK("http://imap3images.s3-website-us-east-1.amazonaws.com/421539/p/photourl1_2014_10_21_scoward_mlmkw66c.jpg", "View")</f>
        <v>View</v>
      </c>
      <c r="F768" t="s">
        <v>56</v>
      </c>
      <c r="G768" t="s">
        <v>205</v>
      </c>
      <c r="H768">
        <v>64540</v>
      </c>
      <c r="I768" t="str">
        <f>HYPERLINK("https://www.inaturalist.org/taxa/64540-Celastrus-orbiculatus", "View")</f>
        <v>View</v>
      </c>
      <c r="J768" t="s">
        <v>56</v>
      </c>
      <c r="K768" t="s">
        <v>57</v>
      </c>
      <c r="L768">
        <v>64540</v>
      </c>
      <c r="M768">
        <v>25.1</v>
      </c>
      <c r="N768">
        <v>99.82</v>
      </c>
      <c r="P768">
        <v>1</v>
      </c>
      <c r="R768" t="s">
        <v>23</v>
      </c>
      <c r="S768" t="s">
        <v>24</v>
      </c>
      <c r="T768" t="s">
        <v>316</v>
      </c>
    </row>
    <row r="769" spans="1:20" x14ac:dyDescent="0.25">
      <c r="A769">
        <v>68</v>
      </c>
      <c r="B769" t="str">
        <f>HYPERLINK("https://imapinvasives.natureserve.org/imap/services/page/Presence/1061765.html", "View")</f>
        <v>View</v>
      </c>
      <c r="C769">
        <v>1061765</v>
      </c>
      <c r="D769">
        <v>1066305</v>
      </c>
      <c r="E769" t="str">
        <f>HYPERLINK("http://imap3images.s3-website-us-east-1.amazonaws.com/1066305/p/0804200940a.jpg", "View")</f>
        <v>View</v>
      </c>
      <c r="F769" t="s">
        <v>56</v>
      </c>
      <c r="G769" t="s">
        <v>205</v>
      </c>
      <c r="H769">
        <v>64540</v>
      </c>
      <c r="I769" t="str">
        <f>HYPERLINK("https://www.inaturalist.org/taxa/431608-Schisandra-chinensis", "View")</f>
        <v>View</v>
      </c>
      <c r="J769" t="s">
        <v>225</v>
      </c>
      <c r="K769" t="s">
        <v>226</v>
      </c>
      <c r="L769">
        <v>431608</v>
      </c>
      <c r="M769">
        <v>0.03</v>
      </c>
      <c r="N769">
        <v>4.7699999999999996</v>
      </c>
      <c r="P769">
        <v>0</v>
      </c>
      <c r="R769" t="s">
        <v>29</v>
      </c>
      <c r="S769" t="s">
        <v>39</v>
      </c>
      <c r="T769" t="s">
        <v>317</v>
      </c>
    </row>
    <row r="770" spans="1:20" x14ac:dyDescent="0.25">
      <c r="A770">
        <v>69</v>
      </c>
      <c r="B770" t="str">
        <f>HYPERLINK("https://imapinvasives.natureserve.org/imap/services/page/Presence/1020144.html", "View")</f>
        <v>View</v>
      </c>
      <c r="C770">
        <v>1020144</v>
      </c>
      <c r="D770">
        <v>1020670</v>
      </c>
      <c r="E770" t="str">
        <f>HYPERLINK("http://imap3images.s3-website-us-east-1.amazonaws.com/1020670/p/imap_app_photo_1562790257275.jpg", "View")</f>
        <v>View</v>
      </c>
      <c r="F770" t="s">
        <v>56</v>
      </c>
      <c r="G770" t="s">
        <v>205</v>
      </c>
      <c r="H770">
        <v>64540</v>
      </c>
      <c r="I770" t="str">
        <f>HYPERLINK("https://www.inaturalist.org/taxa/64540-Celastrus-orbiculatus", "View")</f>
        <v>View</v>
      </c>
      <c r="J770" t="s">
        <v>56</v>
      </c>
      <c r="K770" t="s">
        <v>57</v>
      </c>
      <c r="L770">
        <v>64540</v>
      </c>
      <c r="M770">
        <v>52.81</v>
      </c>
      <c r="N770">
        <v>94.59</v>
      </c>
      <c r="P770">
        <v>1</v>
      </c>
      <c r="R770" t="s">
        <v>23</v>
      </c>
      <c r="S770" t="s">
        <v>24</v>
      </c>
      <c r="T770" t="s">
        <v>316</v>
      </c>
    </row>
    <row r="771" spans="1:20" x14ac:dyDescent="0.25">
      <c r="A771">
        <v>70</v>
      </c>
      <c r="B771" t="str">
        <f>HYPERLINK("https://imapinvasives.natureserve.org/imap/services/page/Presence/1051292.html", "View")</f>
        <v>View</v>
      </c>
      <c r="C771">
        <v>1051292</v>
      </c>
      <c r="D771">
        <v>1055350</v>
      </c>
      <c r="E771" t="str">
        <f>HYPERLINK("http://imap3images.s3-website-us-east-1.amazonaws.com/1055350/p/imap_app_photo_1592587921288.jpg", "View")</f>
        <v>View</v>
      </c>
      <c r="F771" t="s">
        <v>56</v>
      </c>
      <c r="G771" t="s">
        <v>205</v>
      </c>
      <c r="H771">
        <v>64540</v>
      </c>
      <c r="I771" t="str">
        <f>HYPERLINK("https://www.inaturalist.org/taxa/64540-Celastrus-orbiculatus", "View")</f>
        <v>View</v>
      </c>
      <c r="J771" t="s">
        <v>56</v>
      </c>
      <c r="K771" t="s">
        <v>57</v>
      </c>
      <c r="L771">
        <v>64540</v>
      </c>
      <c r="M771">
        <v>43.79</v>
      </c>
      <c r="N771">
        <v>21.24</v>
      </c>
      <c r="P771">
        <v>1</v>
      </c>
      <c r="R771" t="s">
        <v>23</v>
      </c>
      <c r="S771" t="s">
        <v>33</v>
      </c>
      <c r="T771" t="s">
        <v>317</v>
      </c>
    </row>
    <row r="772" spans="1:20" x14ac:dyDescent="0.25">
      <c r="A772">
        <v>71</v>
      </c>
      <c r="B772" t="str">
        <f>HYPERLINK("https://imapinvasives.natureserve.org/imap/services/page/Presence/1019747.html", "View")</f>
        <v>View</v>
      </c>
      <c r="C772">
        <v>1019747</v>
      </c>
      <c r="D772">
        <v>1020273</v>
      </c>
      <c r="E772" t="str">
        <f>HYPERLINK("http://imap3images.s3-website-us-east-1.amazonaws.com/1020273/p/imap_app_photo_1562688985296.jpg", "View")</f>
        <v>View</v>
      </c>
      <c r="F772" t="s">
        <v>56</v>
      </c>
      <c r="G772" t="s">
        <v>205</v>
      </c>
      <c r="H772">
        <v>64540</v>
      </c>
      <c r="I772" t="str">
        <f>HYPERLINK("https://www.inaturalist.org/taxa/64540-Celastrus-orbiculatus", "View")</f>
        <v>View</v>
      </c>
      <c r="J772" t="s">
        <v>56</v>
      </c>
      <c r="K772" t="s">
        <v>57</v>
      </c>
      <c r="L772">
        <v>64540</v>
      </c>
      <c r="M772">
        <v>52.81</v>
      </c>
      <c r="N772">
        <v>95.69</v>
      </c>
      <c r="P772">
        <v>1</v>
      </c>
      <c r="R772" t="s">
        <v>23</v>
      </c>
      <c r="S772" t="s">
        <v>24</v>
      </c>
      <c r="T772" t="s">
        <v>316</v>
      </c>
    </row>
    <row r="773" spans="1:20" x14ac:dyDescent="0.25">
      <c r="A773">
        <v>72</v>
      </c>
      <c r="B773" t="str">
        <f>HYPERLINK("https://imapinvasives.natureserve.org/imap/services/page/Presence/1047939.html", "View")</f>
        <v>View</v>
      </c>
      <c r="C773">
        <v>1047939</v>
      </c>
      <c r="D773">
        <v>1051937</v>
      </c>
      <c r="E773" t="str">
        <f>HYPERLINK("http://imap3images.s3-website-us-east-1.amazonaws.com/1051937/p/imap_app_photo_1591278049002.jpg", "View")</f>
        <v>View</v>
      </c>
      <c r="F773" t="s">
        <v>56</v>
      </c>
      <c r="G773" t="s">
        <v>205</v>
      </c>
      <c r="H773">
        <v>64540</v>
      </c>
      <c r="I773" t="str">
        <f>HYPERLINK("https://www.inaturalist.org/taxa/64540-Celastrus-orbiculatus", "View")</f>
        <v>View</v>
      </c>
      <c r="J773" t="s">
        <v>56</v>
      </c>
      <c r="K773" t="s">
        <v>57</v>
      </c>
      <c r="L773">
        <v>64540</v>
      </c>
      <c r="M773">
        <v>43.79</v>
      </c>
      <c r="N773">
        <v>99.95</v>
      </c>
      <c r="P773">
        <v>1</v>
      </c>
      <c r="R773" t="s">
        <v>23</v>
      </c>
      <c r="S773" t="s">
        <v>24</v>
      </c>
      <c r="T773" t="s">
        <v>316</v>
      </c>
    </row>
    <row r="774" spans="1:20" x14ac:dyDescent="0.25">
      <c r="A774">
        <v>73</v>
      </c>
      <c r="B774" t="str">
        <f>HYPERLINK("https://imapinvasives.natureserve.org/imap/services/page/Presence/527052.html", "View")</f>
        <v>View</v>
      </c>
      <c r="C774">
        <v>527052</v>
      </c>
      <c r="D774">
        <v>527052</v>
      </c>
      <c r="E774" t="str">
        <f>HYPERLINK("http://imap3images.s3-website-us-east-1.amazonaws.com/527052/p/photourl1_2018_06_18_lexlill_t5futgph.jpg", "View")</f>
        <v>View</v>
      </c>
      <c r="F774" t="s">
        <v>56</v>
      </c>
      <c r="G774" t="s">
        <v>205</v>
      </c>
      <c r="H774">
        <v>64540</v>
      </c>
      <c r="I774" t="str">
        <f>HYPERLINK("https://www.inaturalist.org/taxa/119817-Apios-americana", "View")</f>
        <v>View</v>
      </c>
      <c r="J774" t="s">
        <v>227</v>
      </c>
      <c r="K774" t="s">
        <v>228</v>
      </c>
      <c r="L774">
        <v>119817</v>
      </c>
      <c r="M774">
        <v>23.17</v>
      </c>
      <c r="N774">
        <v>21.75</v>
      </c>
      <c r="P774">
        <v>0</v>
      </c>
      <c r="R774" t="s">
        <v>29</v>
      </c>
      <c r="S774" t="s">
        <v>33</v>
      </c>
      <c r="T774" t="s">
        <v>317</v>
      </c>
    </row>
    <row r="775" spans="1:20" x14ac:dyDescent="0.25">
      <c r="A775">
        <v>74</v>
      </c>
      <c r="B775" t="str">
        <f>HYPERLINK("https://imapinvasives.natureserve.org/imap/services/page/Presence/1020791.html", "View")</f>
        <v>View</v>
      </c>
      <c r="C775">
        <v>1020791</v>
      </c>
      <c r="D775">
        <v>1021325</v>
      </c>
      <c r="E775" t="str">
        <f>HYPERLINK("http://imap3images.s3-website-us-east-1.amazonaws.com/1021325/p/imap_app_photo_1562947343658.jpg", "View")</f>
        <v>View</v>
      </c>
      <c r="F775" t="s">
        <v>56</v>
      </c>
      <c r="G775" t="s">
        <v>205</v>
      </c>
      <c r="H775">
        <v>64540</v>
      </c>
      <c r="I775" t="str">
        <f>HYPERLINK("https://www.inaturalist.org/taxa/64540-Celastrus-orbiculatus", "View")</f>
        <v>View</v>
      </c>
      <c r="J775" t="s">
        <v>56</v>
      </c>
      <c r="K775" t="s">
        <v>57</v>
      </c>
      <c r="L775">
        <v>64540</v>
      </c>
      <c r="M775">
        <v>52.81</v>
      </c>
      <c r="N775">
        <v>53.09</v>
      </c>
      <c r="P775">
        <v>1</v>
      </c>
      <c r="R775" t="s">
        <v>23</v>
      </c>
      <c r="S775" t="s">
        <v>33</v>
      </c>
      <c r="T775" t="s">
        <v>317</v>
      </c>
    </row>
    <row r="776" spans="1:20" x14ac:dyDescent="0.25">
      <c r="A776">
        <v>75</v>
      </c>
      <c r="B776" t="str">
        <f>HYPERLINK("https://imapinvasives.natureserve.org/imap/services/page/Presence/513275.html", "View")</f>
        <v>View</v>
      </c>
      <c r="C776">
        <v>513275</v>
      </c>
      <c r="D776">
        <v>513275</v>
      </c>
      <c r="E776" t="str">
        <f>HYPERLINK("http://imap3images.s3-website-us-east-1.amazonaws.com/513275/p/photourl1_2017_07_23_micschaefer_rj4uew2j.jpg", "View")</f>
        <v>View</v>
      </c>
      <c r="F776" t="s">
        <v>56</v>
      </c>
      <c r="G776" t="s">
        <v>205</v>
      </c>
      <c r="H776">
        <v>64540</v>
      </c>
      <c r="I776" t="str">
        <f>HYPERLINK("https://www.inaturalist.org/taxa/58732-Toxicodendron-radicans", "View")</f>
        <v>View</v>
      </c>
      <c r="J776" t="s">
        <v>121</v>
      </c>
      <c r="K776" t="s">
        <v>122</v>
      </c>
      <c r="L776">
        <v>58732</v>
      </c>
      <c r="M776">
        <v>86.16</v>
      </c>
      <c r="N776">
        <v>17.54</v>
      </c>
      <c r="P776">
        <v>0</v>
      </c>
      <c r="R776" t="s">
        <v>29</v>
      </c>
      <c r="S776" t="s">
        <v>33</v>
      </c>
      <c r="T776" t="s">
        <v>317</v>
      </c>
    </row>
    <row r="777" spans="1:20" x14ac:dyDescent="0.25">
      <c r="A777">
        <v>76</v>
      </c>
      <c r="B777" t="str">
        <f>HYPERLINK("https://imapinvasives.natureserve.org/imap/services/page/Presence/1050299.html", "View")</f>
        <v>View</v>
      </c>
      <c r="C777">
        <v>1050299</v>
      </c>
      <c r="D777">
        <v>1054337</v>
      </c>
      <c r="E777" t="str">
        <f>HYPERLINK("http://imap3images.s3-website-us-east-1.amazonaws.com/1054337/p/imap_app_photo_1592243426095.jpg", "View")</f>
        <v>View</v>
      </c>
      <c r="F777" t="s">
        <v>56</v>
      </c>
      <c r="G777" t="s">
        <v>205</v>
      </c>
      <c r="H777">
        <v>64540</v>
      </c>
      <c r="I777" t="str">
        <f t="shared" ref="I777:I783" si="35">HYPERLINK("https://www.inaturalist.org/taxa/64540-Celastrus-orbiculatus", "View")</f>
        <v>View</v>
      </c>
      <c r="J777" t="s">
        <v>56</v>
      </c>
      <c r="K777" t="s">
        <v>57</v>
      </c>
      <c r="L777">
        <v>64540</v>
      </c>
      <c r="M777">
        <v>22.53</v>
      </c>
      <c r="N777">
        <v>94.09</v>
      </c>
      <c r="P777">
        <v>1</v>
      </c>
      <c r="R777" t="s">
        <v>23</v>
      </c>
      <c r="S777" t="s">
        <v>24</v>
      </c>
      <c r="T777" t="s">
        <v>316</v>
      </c>
    </row>
    <row r="778" spans="1:20" x14ac:dyDescent="0.25">
      <c r="A778">
        <v>77</v>
      </c>
      <c r="B778" t="str">
        <f>HYPERLINK("https://imapinvasives.natureserve.org/imap/services/page/Presence/527948.html", "View")</f>
        <v>View</v>
      </c>
      <c r="C778">
        <v>527948</v>
      </c>
      <c r="D778">
        <v>527948</v>
      </c>
      <c r="E778" t="str">
        <f>HYPERLINK("http://imap3images.s3-website-us-east-1.amazonaws.com/527948/p/photourl1_2018_07_03_josdemarco_u2ek9wyh.jpg", "View")</f>
        <v>View</v>
      </c>
      <c r="F778" t="s">
        <v>56</v>
      </c>
      <c r="G778" t="s">
        <v>205</v>
      </c>
      <c r="H778">
        <v>64540</v>
      </c>
      <c r="I778" t="str">
        <f t="shared" si="35"/>
        <v>View</v>
      </c>
      <c r="J778" t="s">
        <v>56</v>
      </c>
      <c r="K778" t="s">
        <v>57</v>
      </c>
      <c r="L778">
        <v>64540</v>
      </c>
      <c r="M778">
        <v>52.81</v>
      </c>
      <c r="N778">
        <v>65.45</v>
      </c>
      <c r="P778">
        <v>1</v>
      </c>
      <c r="R778" t="s">
        <v>23</v>
      </c>
      <c r="S778" t="s">
        <v>24</v>
      </c>
      <c r="T778" t="s">
        <v>316</v>
      </c>
    </row>
    <row r="779" spans="1:20" x14ac:dyDescent="0.25">
      <c r="A779">
        <v>78</v>
      </c>
      <c r="B779" t="str">
        <f>HYPERLINK("https://imapinvasives.natureserve.org/imap/services/page/Presence/1408278.html", "View")</f>
        <v>View</v>
      </c>
      <c r="C779">
        <v>1408278</v>
      </c>
      <c r="D779">
        <v>1420670</v>
      </c>
      <c r="E779" t="str">
        <f>HYPERLINK("http://imap3images.s3-website-us-east-1.amazonaws.com/1420670/p/imap_app_photo_1716134230819.jpg", "View")</f>
        <v>View</v>
      </c>
      <c r="F779" t="s">
        <v>56</v>
      </c>
      <c r="G779" t="s">
        <v>205</v>
      </c>
      <c r="H779">
        <v>64540</v>
      </c>
      <c r="I779" t="str">
        <f t="shared" si="35"/>
        <v>View</v>
      </c>
      <c r="J779" t="s">
        <v>56</v>
      </c>
      <c r="K779" t="s">
        <v>57</v>
      </c>
      <c r="L779">
        <v>64540</v>
      </c>
      <c r="M779">
        <v>22.53</v>
      </c>
      <c r="N779">
        <v>97.36</v>
      </c>
      <c r="P779">
        <v>1</v>
      </c>
      <c r="R779" t="s">
        <v>23</v>
      </c>
      <c r="S779" t="s">
        <v>24</v>
      </c>
      <c r="T779" t="s">
        <v>316</v>
      </c>
    </row>
    <row r="780" spans="1:20" x14ac:dyDescent="0.25">
      <c r="A780">
        <v>79</v>
      </c>
      <c r="B780" t="str">
        <f>HYPERLINK("https://imapinvasives.natureserve.org/imap/services/page/Presence/1054048.html", "View")</f>
        <v>View</v>
      </c>
      <c r="C780">
        <v>1054048</v>
      </c>
      <c r="D780">
        <v>1058382</v>
      </c>
      <c r="E780" t="str">
        <f>HYPERLINK("http://imap3images.s3-website-us-east-1.amazonaws.com/1058382/p/imap_app_photo_1593726212115.jpg", "View")</f>
        <v>View</v>
      </c>
      <c r="F780" t="s">
        <v>56</v>
      </c>
      <c r="G780" t="s">
        <v>205</v>
      </c>
      <c r="H780">
        <v>64540</v>
      </c>
      <c r="I780" t="str">
        <f t="shared" si="35"/>
        <v>View</v>
      </c>
      <c r="J780" t="s">
        <v>56</v>
      </c>
      <c r="K780" t="s">
        <v>57</v>
      </c>
      <c r="L780">
        <v>64540</v>
      </c>
      <c r="M780">
        <v>43.79</v>
      </c>
      <c r="N780">
        <v>99.83</v>
      </c>
      <c r="P780">
        <v>1</v>
      </c>
      <c r="R780" t="s">
        <v>23</v>
      </c>
      <c r="S780" t="s">
        <v>24</v>
      </c>
      <c r="T780" t="s">
        <v>316</v>
      </c>
    </row>
    <row r="781" spans="1:20" x14ac:dyDescent="0.25">
      <c r="A781">
        <v>80</v>
      </c>
      <c r="B781" t="str">
        <f>HYPERLINK("https://imapinvasives.natureserve.org/imap/services/page/Presence/1061449.html", "View")</f>
        <v>View</v>
      </c>
      <c r="C781">
        <v>1061449</v>
      </c>
      <c r="D781">
        <v>1065988</v>
      </c>
      <c r="E781" t="str">
        <f>HYPERLINK("http://imap3images.s3-website-us-east-1.amazonaws.com/1065988/p/0804200919a.jpg", "View")</f>
        <v>View</v>
      </c>
      <c r="F781" t="s">
        <v>56</v>
      </c>
      <c r="G781" t="s">
        <v>205</v>
      </c>
      <c r="H781">
        <v>64540</v>
      </c>
      <c r="I781" t="str">
        <f t="shared" si="35"/>
        <v>View</v>
      </c>
      <c r="J781" t="s">
        <v>56</v>
      </c>
      <c r="K781" t="s">
        <v>57</v>
      </c>
      <c r="L781">
        <v>64540</v>
      </c>
      <c r="M781">
        <v>12.38</v>
      </c>
      <c r="N781">
        <v>94.37</v>
      </c>
      <c r="P781">
        <v>1</v>
      </c>
      <c r="R781" t="s">
        <v>23</v>
      </c>
      <c r="S781" t="s">
        <v>24</v>
      </c>
      <c r="T781" t="s">
        <v>316</v>
      </c>
    </row>
    <row r="782" spans="1:20" x14ac:dyDescent="0.25">
      <c r="A782">
        <v>81</v>
      </c>
      <c r="B782" t="str">
        <f>HYPERLINK("https://imapinvasives.natureserve.org/imap/services/page/Presence/1365162.html", "View")</f>
        <v>View</v>
      </c>
      <c r="C782">
        <v>1365162</v>
      </c>
      <c r="D782">
        <v>1383109</v>
      </c>
      <c r="E782" t="str">
        <f>HYPERLINK("http://imap3images.s3-website-us-east-1.amazonaws.com/1383109/p/imap_app_photo_1702061141729.jpg", "View")</f>
        <v>View</v>
      </c>
      <c r="F782" t="s">
        <v>56</v>
      </c>
      <c r="G782" t="s">
        <v>205</v>
      </c>
      <c r="H782">
        <v>64540</v>
      </c>
      <c r="I782" t="str">
        <f t="shared" si="35"/>
        <v>View</v>
      </c>
      <c r="J782" t="s">
        <v>56</v>
      </c>
      <c r="K782" t="s">
        <v>57</v>
      </c>
      <c r="L782">
        <v>64540</v>
      </c>
      <c r="M782">
        <v>52.81</v>
      </c>
      <c r="N782">
        <v>99.9</v>
      </c>
      <c r="P782">
        <v>1</v>
      </c>
      <c r="R782" t="s">
        <v>23</v>
      </c>
      <c r="S782" t="s">
        <v>24</v>
      </c>
      <c r="T782" t="s">
        <v>316</v>
      </c>
    </row>
    <row r="783" spans="1:20" x14ac:dyDescent="0.25">
      <c r="A783">
        <v>82</v>
      </c>
      <c r="B783" t="str">
        <f>HYPERLINK("https://imapinvasives.natureserve.org/imap/services/page/Presence/1049053.html", "View")</f>
        <v>View</v>
      </c>
      <c r="C783">
        <v>1049053</v>
      </c>
      <c r="D783">
        <v>1053071</v>
      </c>
      <c r="E783" t="str">
        <f>HYPERLINK("http://imap3images.s3-website-us-east-1.amazonaws.com/1053071/p/imap_app_photo_1591712854727.jpg", "View")</f>
        <v>View</v>
      </c>
      <c r="F783" t="s">
        <v>56</v>
      </c>
      <c r="G783" t="s">
        <v>205</v>
      </c>
      <c r="H783">
        <v>64540</v>
      </c>
      <c r="I783" t="str">
        <f t="shared" si="35"/>
        <v>View</v>
      </c>
      <c r="J783" t="s">
        <v>56</v>
      </c>
      <c r="K783" t="s">
        <v>57</v>
      </c>
      <c r="L783">
        <v>64540</v>
      </c>
      <c r="M783">
        <v>43.79</v>
      </c>
      <c r="N783">
        <v>98.21</v>
      </c>
      <c r="P783">
        <v>1</v>
      </c>
      <c r="R783" t="s">
        <v>23</v>
      </c>
      <c r="S783" t="s">
        <v>24</v>
      </c>
      <c r="T783" t="s">
        <v>316</v>
      </c>
    </row>
    <row r="784" spans="1:20" x14ac:dyDescent="0.25">
      <c r="A784">
        <v>83</v>
      </c>
      <c r="B784" t="str">
        <f>HYPERLINK("https://imapinvasives.natureserve.org/imap/services/page/Presence/1025236.html", "View")</f>
        <v>View</v>
      </c>
      <c r="C784">
        <v>1025236</v>
      </c>
      <c r="D784">
        <v>1025992</v>
      </c>
      <c r="E784" t="str">
        <f>HYPERLINK("http://imap3images.s3-website-us-east-1.amazonaws.com/1025992/p/Photo2-20181017-153523.jpg", "View")</f>
        <v>View</v>
      </c>
      <c r="F784" t="s">
        <v>56</v>
      </c>
      <c r="G784" t="s">
        <v>205</v>
      </c>
      <c r="H784">
        <v>64540</v>
      </c>
      <c r="I784" t="str">
        <f>HYPERLINK("https://www.inaturalist.org/taxa/323838-Muehlenbeckia-adpressa", "View")</f>
        <v>View</v>
      </c>
      <c r="J784" t="s">
        <v>229</v>
      </c>
      <c r="K784" t="s">
        <v>230</v>
      </c>
      <c r="L784">
        <v>323838</v>
      </c>
      <c r="M784">
        <v>0.02</v>
      </c>
      <c r="N784">
        <v>13.14</v>
      </c>
      <c r="P784">
        <v>0</v>
      </c>
      <c r="R784" t="s">
        <v>40</v>
      </c>
      <c r="S784" t="s">
        <v>64</v>
      </c>
      <c r="T784" t="s">
        <v>317</v>
      </c>
    </row>
    <row r="785" spans="1:20" x14ac:dyDescent="0.25">
      <c r="A785">
        <v>84</v>
      </c>
      <c r="B785" t="str">
        <f>HYPERLINK("https://imapinvasives.natureserve.org/imap/services/page/Presence/1295101.html", "View")</f>
        <v>View</v>
      </c>
      <c r="C785">
        <v>1295101</v>
      </c>
      <c r="D785">
        <v>1305309</v>
      </c>
      <c r="E785" t="str">
        <f>HYPERLINK("http://imap3images.s3-website-us-east-1.amazonaws.com/1305309/p/Photo_1.jpg", "View")</f>
        <v>View</v>
      </c>
      <c r="F785" t="s">
        <v>56</v>
      </c>
      <c r="G785" t="s">
        <v>205</v>
      </c>
      <c r="H785">
        <v>64540</v>
      </c>
      <c r="I785" t="str">
        <f>HYPERLINK("https://www.inaturalist.org/taxa/64540-Celastrus-orbiculatus", "View")</f>
        <v>View</v>
      </c>
      <c r="J785" t="s">
        <v>56</v>
      </c>
      <c r="K785" t="s">
        <v>57</v>
      </c>
      <c r="L785">
        <v>64540</v>
      </c>
      <c r="M785">
        <v>43.72</v>
      </c>
      <c r="N785">
        <v>93.88</v>
      </c>
      <c r="P785">
        <v>1</v>
      </c>
      <c r="R785" t="s">
        <v>23</v>
      </c>
      <c r="S785" t="s">
        <v>24</v>
      </c>
      <c r="T785" t="s">
        <v>316</v>
      </c>
    </row>
    <row r="786" spans="1:20" x14ac:dyDescent="0.25">
      <c r="A786">
        <v>85</v>
      </c>
      <c r="B786" t="str">
        <f>HYPERLINK("https://imapinvasives.natureserve.org/imap/services/page/Presence/527047.html", "View")</f>
        <v>View</v>
      </c>
      <c r="C786">
        <v>527047</v>
      </c>
      <c r="D786">
        <v>527047</v>
      </c>
      <c r="E786" t="str">
        <f>HYPERLINK("http://imap3images.s3-website-us-east-1.amazonaws.com/527047/p/photourl1_2018_06_18_lexlill_xnkm14ql.jpg", "View")</f>
        <v>View</v>
      </c>
      <c r="F786" t="s">
        <v>56</v>
      </c>
      <c r="G786" t="s">
        <v>205</v>
      </c>
      <c r="H786">
        <v>64540</v>
      </c>
      <c r="I786" t="str">
        <f>HYPERLINK("https://www.inaturalist.org/taxa/60746-Smilax-rotundifolia", "View")</f>
        <v>View</v>
      </c>
      <c r="J786" t="s">
        <v>45</v>
      </c>
      <c r="K786" t="s">
        <v>46</v>
      </c>
      <c r="L786">
        <v>60746</v>
      </c>
      <c r="M786">
        <v>6.74</v>
      </c>
      <c r="N786">
        <v>31.55</v>
      </c>
      <c r="P786">
        <v>0</v>
      </c>
      <c r="R786" t="s">
        <v>29</v>
      </c>
      <c r="S786" t="s">
        <v>33</v>
      </c>
      <c r="T786" t="s">
        <v>317</v>
      </c>
    </row>
    <row r="787" spans="1:20" x14ac:dyDescent="0.25">
      <c r="A787">
        <v>86</v>
      </c>
      <c r="B787" t="str">
        <f>HYPERLINK("https://imapinvasives.natureserve.org/imap/services/page/Presence/1271766.html", "View")</f>
        <v>View</v>
      </c>
      <c r="C787">
        <v>1271766</v>
      </c>
      <c r="D787">
        <v>1280757</v>
      </c>
      <c r="E787" t="str">
        <f>HYPERLINK("http://imap3images.s3-website-us-east-1.amazonaws.com/1280757/p/imap_app_photo_1652321826413.jpg", "View")</f>
        <v>View</v>
      </c>
      <c r="F787" t="s">
        <v>56</v>
      </c>
      <c r="G787" t="s">
        <v>205</v>
      </c>
      <c r="H787">
        <v>64540</v>
      </c>
      <c r="I787" t="str">
        <f>HYPERLINK("https://www.inaturalist.org/taxa/64540-Celastrus-orbiculatus", "View")</f>
        <v>View</v>
      </c>
      <c r="J787" t="s">
        <v>56</v>
      </c>
      <c r="K787" t="s">
        <v>57</v>
      </c>
      <c r="L787">
        <v>64540</v>
      </c>
      <c r="M787">
        <v>75.59</v>
      </c>
      <c r="N787">
        <v>99.36</v>
      </c>
      <c r="P787">
        <v>1</v>
      </c>
      <c r="R787" t="s">
        <v>23</v>
      </c>
      <c r="S787" t="s">
        <v>24</v>
      </c>
      <c r="T787" t="s">
        <v>316</v>
      </c>
    </row>
    <row r="788" spans="1:20" x14ac:dyDescent="0.25">
      <c r="A788">
        <v>87</v>
      </c>
      <c r="B788" t="str">
        <f>HYPERLINK("https://imapinvasives.natureserve.org/imap/services/page/Presence/530231.html", "View")</f>
        <v>View</v>
      </c>
      <c r="C788">
        <v>530231</v>
      </c>
      <c r="D788">
        <v>530231</v>
      </c>
      <c r="E788" t="str">
        <f>HYPERLINK("http://imap3images.s3-website-us-east-1.amazonaws.com/530231/p/photourl1_2018_08_17_spebarrett_cz1rj27k.jpg", "View")</f>
        <v>View</v>
      </c>
      <c r="F788" t="s">
        <v>56</v>
      </c>
      <c r="G788" t="s">
        <v>205</v>
      </c>
      <c r="H788">
        <v>64540</v>
      </c>
      <c r="I788" t="str">
        <f>HYPERLINK("https://www.inaturalist.org/taxa/64540-Celastrus-orbiculatus", "View")</f>
        <v>View</v>
      </c>
      <c r="J788" t="s">
        <v>56</v>
      </c>
      <c r="K788" t="s">
        <v>57</v>
      </c>
      <c r="L788">
        <v>64540</v>
      </c>
      <c r="M788">
        <v>43.79</v>
      </c>
      <c r="N788">
        <v>16.37</v>
      </c>
      <c r="P788">
        <v>1</v>
      </c>
      <c r="R788" t="s">
        <v>23</v>
      </c>
      <c r="S788" t="s">
        <v>33</v>
      </c>
      <c r="T788" t="s">
        <v>317</v>
      </c>
    </row>
    <row r="789" spans="1:20" x14ac:dyDescent="0.25">
      <c r="A789">
        <v>88</v>
      </c>
      <c r="B789" t="str">
        <f>HYPERLINK("https://imapinvasives.natureserve.org/imap/services/page/Presence/1139752.html", "View")</f>
        <v>View</v>
      </c>
      <c r="C789">
        <v>1139752</v>
      </c>
      <c r="D789">
        <v>1146264</v>
      </c>
      <c r="E789" t="str">
        <f>HYPERLINK("http://imap3images.s3-website-us-east-1.amazonaws.com/1146264/p/imap_app_photo_1622637795097.jpg", "View")</f>
        <v>View</v>
      </c>
      <c r="F789" t="s">
        <v>56</v>
      </c>
      <c r="G789" t="s">
        <v>205</v>
      </c>
      <c r="H789">
        <v>64540</v>
      </c>
      <c r="I789" t="str">
        <f>HYPERLINK("https://www.inaturalist.org/taxa/64540-Celastrus-orbiculatus", "View")</f>
        <v>View</v>
      </c>
      <c r="J789" t="s">
        <v>56</v>
      </c>
      <c r="K789" t="s">
        <v>57</v>
      </c>
      <c r="L789">
        <v>64540</v>
      </c>
      <c r="M789">
        <v>52.81</v>
      </c>
      <c r="N789">
        <v>99.29</v>
      </c>
      <c r="P789">
        <v>1</v>
      </c>
      <c r="R789" t="s">
        <v>23</v>
      </c>
      <c r="S789" t="s">
        <v>24</v>
      </c>
      <c r="T789" t="s">
        <v>316</v>
      </c>
    </row>
    <row r="790" spans="1:20" x14ac:dyDescent="0.25">
      <c r="A790">
        <v>89</v>
      </c>
      <c r="B790" t="str">
        <f>HYPERLINK("https://imapinvasives.natureserve.org/imap/services/page/Presence/1024845.html", "View")</f>
        <v>View</v>
      </c>
      <c r="C790">
        <v>1024845</v>
      </c>
      <c r="D790">
        <v>1025601</v>
      </c>
      <c r="E790" t="str">
        <f>HYPERLINK("http://imap3images.s3-website-us-east-1.amazonaws.com/1025601/p/Photo2-20180817-171229.jpg", "View")</f>
        <v>View</v>
      </c>
      <c r="F790" t="s">
        <v>56</v>
      </c>
      <c r="G790" t="s">
        <v>205</v>
      </c>
      <c r="H790">
        <v>64540</v>
      </c>
      <c r="I790" t="str">
        <f>HYPERLINK("https://www.inaturalist.org/taxa/64540-Celastrus-orbiculatus", "View")</f>
        <v>View</v>
      </c>
      <c r="J790" t="s">
        <v>56</v>
      </c>
      <c r="K790" t="s">
        <v>57</v>
      </c>
      <c r="L790">
        <v>64540</v>
      </c>
      <c r="M790">
        <v>43.79</v>
      </c>
      <c r="N790">
        <v>34.36</v>
      </c>
      <c r="P790">
        <v>1</v>
      </c>
      <c r="R790" t="s">
        <v>23</v>
      </c>
      <c r="S790" t="s">
        <v>39</v>
      </c>
      <c r="T790" t="s">
        <v>317</v>
      </c>
    </row>
    <row r="791" spans="1:20" x14ac:dyDescent="0.25">
      <c r="A791">
        <v>90</v>
      </c>
      <c r="B791" t="str">
        <f>HYPERLINK("https://imapinvasives.natureserve.org/imap/services/page/Presence/1285040.html", "View")</f>
        <v>View</v>
      </c>
      <c r="C791">
        <v>1285040</v>
      </c>
      <c r="D791">
        <v>1294621</v>
      </c>
      <c r="E791" t="str">
        <f>HYPERLINK("http://imap3images.s3-website-us-east-1.amazonaws.com/1294621/p/imap_app_photo_1659651762330.jpg", "View")</f>
        <v>View</v>
      </c>
      <c r="F791" t="s">
        <v>56</v>
      </c>
      <c r="G791" t="s">
        <v>205</v>
      </c>
      <c r="H791">
        <v>64540</v>
      </c>
      <c r="I791" t="str">
        <f>HYPERLINK("https://www.inaturalist.org/taxa/54811-Rhamnus-cathartica", "View")</f>
        <v>View</v>
      </c>
      <c r="J791" t="s">
        <v>47</v>
      </c>
      <c r="K791" t="s">
        <v>49</v>
      </c>
      <c r="L791">
        <v>54811</v>
      </c>
      <c r="M791">
        <v>12.83</v>
      </c>
      <c r="N791">
        <v>51.86</v>
      </c>
      <c r="P791">
        <v>0</v>
      </c>
      <c r="R791" t="s">
        <v>29</v>
      </c>
      <c r="S791" t="s">
        <v>33</v>
      </c>
      <c r="T791" t="s">
        <v>317</v>
      </c>
    </row>
    <row r="792" spans="1:20" x14ac:dyDescent="0.25">
      <c r="A792">
        <v>91</v>
      </c>
      <c r="B792" t="str">
        <f>HYPERLINK("https://imapinvasives.natureserve.org/imap/services/page/Presence/1048306.html", "View")</f>
        <v>View</v>
      </c>
      <c r="C792">
        <v>1048306</v>
      </c>
      <c r="D792">
        <v>1052324</v>
      </c>
      <c r="E792" t="str">
        <f>HYPERLINK("http://imap3images.s3-website-us-east-1.amazonaws.com/1052324/p/imap_app_photo_1591379269064.jpg", "View")</f>
        <v>View</v>
      </c>
      <c r="F792" t="s">
        <v>56</v>
      </c>
      <c r="G792" t="s">
        <v>205</v>
      </c>
      <c r="H792">
        <v>64540</v>
      </c>
      <c r="I792" t="str">
        <f>HYPERLINK("https://www.inaturalist.org/taxa/64540-Celastrus-orbiculatus", "View")</f>
        <v>View</v>
      </c>
      <c r="J792" t="s">
        <v>56</v>
      </c>
      <c r="K792" t="s">
        <v>57</v>
      </c>
      <c r="L792">
        <v>64540</v>
      </c>
      <c r="M792">
        <v>43.79</v>
      </c>
      <c r="N792">
        <v>99.69</v>
      </c>
      <c r="P792">
        <v>1</v>
      </c>
      <c r="R792" t="s">
        <v>23</v>
      </c>
      <c r="S792" t="s">
        <v>24</v>
      </c>
      <c r="T792" t="s">
        <v>316</v>
      </c>
    </row>
    <row r="793" spans="1:20" x14ac:dyDescent="0.25">
      <c r="A793">
        <v>92</v>
      </c>
      <c r="B793" t="str">
        <f>HYPERLINK("https://imapinvasives.natureserve.org/imap/services/page/Presence/1152401.html", "View")</f>
        <v>View</v>
      </c>
      <c r="C793">
        <v>1152401</v>
      </c>
      <c r="D793">
        <v>1159343</v>
      </c>
      <c r="E793" t="str">
        <f>HYPERLINK("http://imap3images.s3-website-us-east-1.amazonaws.com/1159343/p/imap_app_photo_1627072152855.jpg", "View")</f>
        <v>View</v>
      </c>
      <c r="F793" t="s">
        <v>56</v>
      </c>
      <c r="G793" t="s">
        <v>205</v>
      </c>
      <c r="H793">
        <v>64540</v>
      </c>
      <c r="I793" t="str">
        <f>HYPERLINK("https://www.inaturalist.org/taxa/64540-Celastrus-orbiculatus", "View")</f>
        <v>View</v>
      </c>
      <c r="J793" t="s">
        <v>56</v>
      </c>
      <c r="K793" t="s">
        <v>57</v>
      </c>
      <c r="L793">
        <v>64540</v>
      </c>
      <c r="M793">
        <v>75.59</v>
      </c>
      <c r="N793">
        <v>98.95</v>
      </c>
      <c r="P793">
        <v>1</v>
      </c>
      <c r="R793" t="s">
        <v>23</v>
      </c>
      <c r="S793" t="s">
        <v>24</v>
      </c>
      <c r="T793" t="s">
        <v>316</v>
      </c>
    </row>
    <row r="794" spans="1:20" x14ac:dyDescent="0.25">
      <c r="A794">
        <v>93</v>
      </c>
      <c r="B794" t="str">
        <f>HYPERLINK("https://imapinvasives.natureserve.org/imap/services/page/Presence/1295085.html", "View")</f>
        <v>View</v>
      </c>
      <c r="C794">
        <v>1295085</v>
      </c>
      <c r="D794">
        <v>1305291</v>
      </c>
      <c r="E794" t="str">
        <f>HYPERLINK("http://imap3images.s3-website-us-east-1.amazonaws.com/1305291/p/Photo_1.jpg", "View")</f>
        <v>View</v>
      </c>
      <c r="F794" t="s">
        <v>56</v>
      </c>
      <c r="G794" t="s">
        <v>205</v>
      </c>
      <c r="H794">
        <v>64540</v>
      </c>
      <c r="I794" t="str">
        <f>HYPERLINK("https://www.inaturalist.org/taxa/54811-Rhamnus-cathartica", "View")</f>
        <v>View</v>
      </c>
      <c r="J794" t="s">
        <v>47</v>
      </c>
      <c r="K794" t="s">
        <v>49</v>
      </c>
      <c r="L794">
        <v>54811</v>
      </c>
      <c r="M794">
        <v>35.619999999999997</v>
      </c>
      <c r="N794">
        <v>44.92</v>
      </c>
      <c r="P794">
        <v>0</v>
      </c>
      <c r="R794" t="s">
        <v>29</v>
      </c>
      <c r="S794" t="s">
        <v>79</v>
      </c>
      <c r="T794" t="s">
        <v>317</v>
      </c>
    </row>
    <row r="795" spans="1:20" x14ac:dyDescent="0.25">
      <c r="A795">
        <v>94</v>
      </c>
      <c r="B795" t="str">
        <f>HYPERLINK("https://imapinvasives.natureserve.org/imap/services/page/Presence/495598.html", "View")</f>
        <v>View</v>
      </c>
      <c r="C795">
        <v>495598</v>
      </c>
      <c r="D795">
        <v>495598</v>
      </c>
      <c r="E795" t="str">
        <f>HYPERLINK("http://imap3images.s3-website-us-east-1.amazonaws.com/495598/p/photourl1_2016_09_28_fralawlor_qyr5rf2y.jpg", "View")</f>
        <v>View</v>
      </c>
      <c r="F795" t="s">
        <v>56</v>
      </c>
      <c r="G795" t="s">
        <v>205</v>
      </c>
      <c r="H795">
        <v>64540</v>
      </c>
      <c r="I795" t="str">
        <f>HYPERLINK("https://www.inaturalist.org/taxa/64540-Celastrus-orbiculatus", "View")</f>
        <v>View</v>
      </c>
      <c r="J795" t="s">
        <v>56</v>
      </c>
      <c r="K795" t="s">
        <v>57</v>
      </c>
      <c r="L795">
        <v>64540</v>
      </c>
      <c r="M795">
        <v>16.03</v>
      </c>
      <c r="N795">
        <v>67.989999999999995</v>
      </c>
      <c r="P795">
        <v>1</v>
      </c>
      <c r="R795" t="s">
        <v>23</v>
      </c>
      <c r="S795" t="s">
        <v>24</v>
      </c>
      <c r="T795" t="s">
        <v>316</v>
      </c>
    </row>
    <row r="796" spans="1:20" x14ac:dyDescent="0.25">
      <c r="A796">
        <v>95</v>
      </c>
      <c r="B796" t="str">
        <f>HYPERLINK("https://imapinvasives.natureserve.org/imap/services/page/Presence/1024481.html", "View")</f>
        <v>View</v>
      </c>
      <c r="C796">
        <v>1024481</v>
      </c>
      <c r="D796">
        <v>1025234</v>
      </c>
      <c r="E796" t="str">
        <f>HYPERLINK("http://imap3images.s3-website-us-east-1.amazonaws.com/1025234/p/Photo3-20180720-151758.jpg", "View")</f>
        <v>View</v>
      </c>
      <c r="F796" t="s">
        <v>56</v>
      </c>
      <c r="G796" t="s">
        <v>205</v>
      </c>
      <c r="H796">
        <v>64540</v>
      </c>
      <c r="I796" t="str">
        <f>HYPERLINK("https://www.inaturalist.org/taxa/181927-Parthenocissus-inserta", "View")</f>
        <v>View</v>
      </c>
      <c r="J796" t="s">
        <v>231</v>
      </c>
      <c r="K796" t="s">
        <v>232</v>
      </c>
      <c r="L796">
        <v>181927</v>
      </c>
      <c r="M796">
        <v>8.17</v>
      </c>
      <c r="N796">
        <v>12.23</v>
      </c>
      <c r="P796">
        <v>0</v>
      </c>
      <c r="R796" t="s">
        <v>40</v>
      </c>
      <c r="S796" t="s">
        <v>33</v>
      </c>
      <c r="T796" t="s">
        <v>317</v>
      </c>
    </row>
    <row r="797" spans="1:20" x14ac:dyDescent="0.25">
      <c r="A797">
        <v>96</v>
      </c>
      <c r="B797" t="str">
        <f>HYPERLINK("https://imapinvasives.natureserve.org/imap/services/page/Presence/523680.html", "View")</f>
        <v>View</v>
      </c>
      <c r="C797">
        <v>523680</v>
      </c>
      <c r="D797">
        <v>523680</v>
      </c>
      <c r="E797" t="str">
        <f>HYPERLINK("http://imap3images.s3-website-us-east-1.amazonaws.com/523680/p/photourl1_2017_11_18_rogosorio_s2kt21qr.jpg", "View")</f>
        <v>View</v>
      </c>
      <c r="F797" t="s">
        <v>56</v>
      </c>
      <c r="G797" t="s">
        <v>205</v>
      </c>
      <c r="H797">
        <v>64540</v>
      </c>
      <c r="I797" t="str">
        <f>HYPERLINK("https://www.inaturalist.org/taxa/1103716-Litylenchus-crenatae", "View")</f>
        <v>View</v>
      </c>
      <c r="J797" t="s">
        <v>21</v>
      </c>
      <c r="K797" t="s">
        <v>22</v>
      </c>
      <c r="L797">
        <v>1103716</v>
      </c>
      <c r="M797">
        <v>45.38</v>
      </c>
      <c r="N797">
        <v>10.79</v>
      </c>
      <c r="P797">
        <v>0</v>
      </c>
      <c r="R797" t="s">
        <v>40</v>
      </c>
      <c r="S797" t="s">
        <v>64</v>
      </c>
      <c r="T797" t="s">
        <v>317</v>
      </c>
    </row>
    <row r="798" spans="1:20" x14ac:dyDescent="0.25">
      <c r="A798">
        <v>97</v>
      </c>
      <c r="B798" t="str">
        <f>HYPERLINK("https://imapinvasives.natureserve.org/imap/services/page/Presence/1273630.html", "View")</f>
        <v>View</v>
      </c>
      <c r="C798">
        <v>1273630</v>
      </c>
      <c r="D798">
        <v>1282821</v>
      </c>
      <c r="E798" t="str">
        <f>HYPERLINK("http://imap3images.s3-website-us-east-1.amazonaws.com/1282821/p/imap_app_photo_1654427198900.jpg", "View")</f>
        <v>View</v>
      </c>
      <c r="F798" t="s">
        <v>56</v>
      </c>
      <c r="G798" t="s">
        <v>205</v>
      </c>
      <c r="H798">
        <v>64540</v>
      </c>
      <c r="I798" t="str">
        <f>HYPERLINK("https://www.inaturalist.org/taxa/64540-Celastrus-orbiculatus", "View")</f>
        <v>View</v>
      </c>
      <c r="J798" t="s">
        <v>56</v>
      </c>
      <c r="K798" t="s">
        <v>57</v>
      </c>
      <c r="L798">
        <v>64540</v>
      </c>
      <c r="M798">
        <v>10.25</v>
      </c>
      <c r="N798">
        <v>68.14</v>
      </c>
      <c r="P798">
        <v>1</v>
      </c>
      <c r="R798" t="s">
        <v>23</v>
      </c>
      <c r="S798" t="s">
        <v>24</v>
      </c>
      <c r="T798" t="s">
        <v>316</v>
      </c>
    </row>
    <row r="799" spans="1:20" x14ac:dyDescent="0.25">
      <c r="A799">
        <v>98</v>
      </c>
      <c r="B799" t="str">
        <f>HYPERLINK("https://imapinvasives.natureserve.org/imap/services/page/Presence/1071508.html", "View")</f>
        <v>View</v>
      </c>
      <c r="C799">
        <v>1071508</v>
      </c>
      <c r="D799">
        <v>1076551</v>
      </c>
      <c r="E799" t="str">
        <f>HYPERLINK("http://imap3images.s3-website-us-east-1.amazonaws.com/1076551/p/imap_app_photo_1603386066962.jpg", "View")</f>
        <v>View</v>
      </c>
      <c r="F799" t="s">
        <v>56</v>
      </c>
      <c r="G799" t="s">
        <v>205</v>
      </c>
      <c r="H799">
        <v>64540</v>
      </c>
      <c r="I799" t="str">
        <f>HYPERLINK("https://www.inaturalist.org/taxa/64540-Celastrus-orbiculatus", "View")</f>
        <v>View</v>
      </c>
      <c r="J799" t="s">
        <v>56</v>
      </c>
      <c r="K799" t="s">
        <v>57</v>
      </c>
      <c r="L799">
        <v>64540</v>
      </c>
      <c r="M799">
        <v>88.3</v>
      </c>
      <c r="N799">
        <v>99.07</v>
      </c>
      <c r="P799">
        <v>1</v>
      </c>
      <c r="R799" t="s">
        <v>23</v>
      </c>
      <c r="S799" t="s">
        <v>24</v>
      </c>
      <c r="T799" t="s">
        <v>316</v>
      </c>
    </row>
    <row r="800" spans="1:20" x14ac:dyDescent="0.25">
      <c r="A800">
        <v>99</v>
      </c>
      <c r="B800" t="str">
        <f>HYPERLINK("https://imapinvasives.natureserve.org/imap/services/page/Presence/1050282.html", "View")</f>
        <v>View</v>
      </c>
      <c r="C800">
        <v>1050282</v>
      </c>
      <c r="D800">
        <v>1054320</v>
      </c>
      <c r="E800" t="str">
        <f>HYPERLINK("http://imap3images.s3-website-us-east-1.amazonaws.com/1054320/p/imap_app_photo_1592242816903.jpg", "View")</f>
        <v>View</v>
      </c>
      <c r="F800" t="s">
        <v>56</v>
      </c>
      <c r="G800" t="s">
        <v>205</v>
      </c>
      <c r="H800">
        <v>64540</v>
      </c>
      <c r="I800" t="str">
        <f>HYPERLINK("https://www.inaturalist.org/taxa/64540-Celastrus-orbiculatus", "View")</f>
        <v>View</v>
      </c>
      <c r="J800" t="s">
        <v>56</v>
      </c>
      <c r="K800" t="s">
        <v>57</v>
      </c>
      <c r="L800">
        <v>64540</v>
      </c>
      <c r="M800">
        <v>22.53</v>
      </c>
      <c r="N800">
        <v>68.17</v>
      </c>
      <c r="P800">
        <v>1</v>
      </c>
      <c r="R800" t="s">
        <v>23</v>
      </c>
      <c r="S800" t="s">
        <v>33</v>
      </c>
      <c r="T800" t="s">
        <v>317</v>
      </c>
    </row>
    <row r="801" spans="1:20" x14ac:dyDescent="0.25">
      <c r="A801">
        <v>100</v>
      </c>
      <c r="B801" t="str">
        <f>HYPERLINK("https://imapinvasives.natureserve.org/imap/services/page/Presence/1016745.html", "View")</f>
        <v>View</v>
      </c>
      <c r="C801">
        <v>1016745</v>
      </c>
      <c r="D801">
        <v>1017201</v>
      </c>
      <c r="E801" t="str">
        <f>HYPERLINK("http://imap3images.s3-website-us-east-1.amazonaws.com/1017201/p/imap_app_photo_1560351531010.jpg", "View")</f>
        <v>View</v>
      </c>
      <c r="F801" t="s">
        <v>56</v>
      </c>
      <c r="G801" t="s">
        <v>205</v>
      </c>
      <c r="H801">
        <v>64540</v>
      </c>
      <c r="I801" t="str">
        <f>HYPERLINK("https://www.inaturalist.org/taxa/64540-Celastrus-orbiculatus", "View")</f>
        <v>View</v>
      </c>
      <c r="J801" t="s">
        <v>56</v>
      </c>
      <c r="K801" t="s">
        <v>57</v>
      </c>
      <c r="L801">
        <v>64540</v>
      </c>
      <c r="M801">
        <v>52.81</v>
      </c>
      <c r="N801">
        <v>61.8</v>
      </c>
      <c r="P801">
        <v>1</v>
      </c>
      <c r="R801" t="s">
        <v>23</v>
      </c>
      <c r="S801" t="s">
        <v>24</v>
      </c>
      <c r="T801" t="s">
        <v>316</v>
      </c>
    </row>
    <row r="802" spans="1:20" x14ac:dyDescent="0.25">
      <c r="A802">
        <v>1</v>
      </c>
      <c r="B802" t="str">
        <f>HYPERLINK("https://imapinvasives.natureserve.org/imap/services/page/Presence/1280667.html", "View")</f>
        <v>View</v>
      </c>
      <c r="C802">
        <v>1280667</v>
      </c>
      <c r="D802">
        <v>1290058</v>
      </c>
      <c r="E802" t="str">
        <f>HYPERLINK("http://imap3images.s3-website-us-east-1.amazonaws.com/1290058/p/imap_app_photo_1656621501392.jpg", "View")</f>
        <v>View</v>
      </c>
      <c r="F802" t="s">
        <v>233</v>
      </c>
      <c r="G802" t="s">
        <v>234</v>
      </c>
      <c r="H802">
        <v>61321</v>
      </c>
      <c r="I802" t="str">
        <f>HYPERLINK("https://www.inaturalist.org/taxa/61321-Lythrum-salicaria", "View")</f>
        <v>View</v>
      </c>
      <c r="J802" t="s">
        <v>233</v>
      </c>
      <c r="K802" t="s">
        <v>235</v>
      </c>
      <c r="L802">
        <v>61321</v>
      </c>
      <c r="M802">
        <v>21.7</v>
      </c>
      <c r="N802">
        <v>73.89</v>
      </c>
      <c r="P802">
        <v>1</v>
      </c>
      <c r="R802" t="s">
        <v>23</v>
      </c>
      <c r="S802" t="s">
        <v>24</v>
      </c>
      <c r="T802" t="s">
        <v>316</v>
      </c>
    </row>
    <row r="803" spans="1:20" x14ac:dyDescent="0.25">
      <c r="A803">
        <v>2</v>
      </c>
      <c r="B803" t="str">
        <f>HYPERLINK("https://imapinvasives.natureserve.org/imap/services/page/Presence/1026030.html", "View")</f>
        <v>View</v>
      </c>
      <c r="C803">
        <v>1026030</v>
      </c>
      <c r="D803">
        <v>1026988</v>
      </c>
      <c r="E803" t="str">
        <f>HYPERLINK("http://imap3images.s3-website-us-east-1.amazonaws.com/1026988/p/purple_loostrife_15A.jpg", "View")</f>
        <v>View</v>
      </c>
      <c r="F803" t="s">
        <v>233</v>
      </c>
      <c r="G803" t="s">
        <v>234</v>
      </c>
      <c r="H803">
        <v>61321</v>
      </c>
      <c r="I803" t="str">
        <f>HYPERLINK("https://www.inaturalist.org/taxa/56057-Leucanthemum-vulgare", "View")</f>
        <v>View</v>
      </c>
      <c r="J803" t="s">
        <v>236</v>
      </c>
      <c r="K803" t="s">
        <v>237</v>
      </c>
      <c r="L803">
        <v>56057</v>
      </c>
      <c r="M803">
        <v>23.24</v>
      </c>
      <c r="N803">
        <v>17.149999999999999</v>
      </c>
      <c r="P803">
        <v>0</v>
      </c>
      <c r="R803" t="s">
        <v>40</v>
      </c>
      <c r="S803" t="s">
        <v>28</v>
      </c>
      <c r="T803" t="s">
        <v>317</v>
      </c>
    </row>
    <row r="804" spans="1:20" x14ac:dyDescent="0.25">
      <c r="A804">
        <v>3</v>
      </c>
      <c r="B804" t="str">
        <f>HYPERLINK("https://imapinvasives.natureserve.org/imap/services/page/Presence/1287392.html", "View")</f>
        <v>View</v>
      </c>
      <c r="C804">
        <v>1287392</v>
      </c>
      <c r="D804">
        <v>1297273</v>
      </c>
      <c r="E804" t="str">
        <f>HYPERLINK("http://imap3images.s3-website-us-east-1.amazonaws.com/1297273/p/imap_app_photo_1660751694899.jpg", "View")</f>
        <v>View</v>
      </c>
      <c r="F804" t="s">
        <v>233</v>
      </c>
      <c r="G804" t="s">
        <v>234</v>
      </c>
      <c r="H804">
        <v>61321</v>
      </c>
      <c r="I804" t="str">
        <f>HYPERLINK("https://www.inaturalist.org/taxa/61321-Lythrum-salicaria", "View")</f>
        <v>View</v>
      </c>
      <c r="J804" t="s">
        <v>233</v>
      </c>
      <c r="K804" t="s">
        <v>235</v>
      </c>
      <c r="L804">
        <v>61321</v>
      </c>
      <c r="M804">
        <v>22.41</v>
      </c>
      <c r="N804">
        <v>99.03</v>
      </c>
      <c r="P804">
        <v>1</v>
      </c>
      <c r="R804" t="s">
        <v>23</v>
      </c>
      <c r="S804" t="s">
        <v>24</v>
      </c>
      <c r="T804" t="s">
        <v>316</v>
      </c>
    </row>
    <row r="805" spans="1:20" x14ac:dyDescent="0.25">
      <c r="A805">
        <v>4</v>
      </c>
      <c r="B805" t="str">
        <f>HYPERLINK("https://imapinvasives.natureserve.org/imap/services/page/Presence/418564.html", "View")</f>
        <v>View</v>
      </c>
      <c r="C805">
        <v>418564</v>
      </c>
      <c r="D805">
        <v>418564</v>
      </c>
      <c r="E805" t="str">
        <f>HYPERLINK("http://imap3images.s3-website-us-east-1.amazonaws.com/418564/p/photourl1_2014_08_05_katbauer_kuouj7zq.jpg", "View")</f>
        <v>View</v>
      </c>
      <c r="F805" t="s">
        <v>233</v>
      </c>
      <c r="G805" t="s">
        <v>234</v>
      </c>
      <c r="H805">
        <v>61321</v>
      </c>
      <c r="I805" t="str">
        <f>HYPERLINK("https://www.inaturalist.org/taxa/61321-Lythrum-salicaria", "View")</f>
        <v>View</v>
      </c>
      <c r="J805" t="s">
        <v>233</v>
      </c>
      <c r="K805" t="s">
        <v>235</v>
      </c>
      <c r="L805">
        <v>61321</v>
      </c>
      <c r="M805">
        <v>14.65</v>
      </c>
      <c r="N805">
        <v>97.36</v>
      </c>
      <c r="P805">
        <v>1</v>
      </c>
      <c r="R805" t="s">
        <v>23</v>
      </c>
      <c r="S805" t="s">
        <v>24</v>
      </c>
      <c r="T805" t="s">
        <v>316</v>
      </c>
    </row>
    <row r="806" spans="1:20" x14ac:dyDescent="0.25">
      <c r="A806">
        <v>5</v>
      </c>
      <c r="B806" t="str">
        <f>HYPERLINK("https://imapinvasives.natureserve.org/imap/services/page/Presence/1286205.html", "View")</f>
        <v>View</v>
      </c>
      <c r="C806">
        <v>1286205</v>
      </c>
      <c r="D806">
        <v>1295928</v>
      </c>
      <c r="E806" t="str">
        <f>HYPERLINK("http://imap3images.s3-website-us-east-1.amazonaws.com/1295928/p/imap_app_photo_1660238825967.jpg", "View")</f>
        <v>View</v>
      </c>
      <c r="F806" t="s">
        <v>233</v>
      </c>
      <c r="G806" t="s">
        <v>234</v>
      </c>
      <c r="H806">
        <v>61321</v>
      </c>
      <c r="I806" t="str">
        <f>HYPERLINK("https://www.inaturalist.org/taxa/61321-Lythrum-salicaria", "View")</f>
        <v>View</v>
      </c>
      <c r="J806" t="s">
        <v>233</v>
      </c>
      <c r="K806" t="s">
        <v>235</v>
      </c>
      <c r="L806">
        <v>61321</v>
      </c>
      <c r="M806">
        <v>39.86</v>
      </c>
      <c r="N806">
        <v>99.83</v>
      </c>
      <c r="P806">
        <v>1</v>
      </c>
      <c r="R806" t="s">
        <v>23</v>
      </c>
      <c r="S806" t="s">
        <v>24</v>
      </c>
      <c r="T806" t="s">
        <v>316</v>
      </c>
    </row>
    <row r="807" spans="1:20" x14ac:dyDescent="0.25">
      <c r="A807">
        <v>6</v>
      </c>
      <c r="B807" t="str">
        <f>HYPERLINK("https://imapinvasives.natureserve.org/imap/services/page/Presence/514019.html", "View")</f>
        <v>View</v>
      </c>
      <c r="C807">
        <v>514019</v>
      </c>
      <c r="D807">
        <v>514019</v>
      </c>
      <c r="E807" t="str">
        <f>HYPERLINK("http://imap3images.s3-website-us-east-1.amazonaws.com/514019/p/photourl1_2017_08_22_kevsanders_cvbfdi52.jpg", "View")</f>
        <v>View</v>
      </c>
      <c r="F807" t="s">
        <v>233</v>
      </c>
      <c r="G807" t="s">
        <v>234</v>
      </c>
      <c r="H807">
        <v>61321</v>
      </c>
      <c r="I807" t="str">
        <f>HYPERLINK("https://www.inaturalist.org/taxa/61321-Lythrum-salicaria", "View")</f>
        <v>View</v>
      </c>
      <c r="J807" t="s">
        <v>233</v>
      </c>
      <c r="K807" t="s">
        <v>235</v>
      </c>
      <c r="L807">
        <v>61321</v>
      </c>
      <c r="M807">
        <v>26.85</v>
      </c>
      <c r="N807">
        <v>99.54</v>
      </c>
      <c r="P807">
        <v>1</v>
      </c>
      <c r="R807" t="s">
        <v>23</v>
      </c>
      <c r="S807" t="s">
        <v>24</v>
      </c>
      <c r="T807" t="s">
        <v>316</v>
      </c>
    </row>
    <row r="808" spans="1:20" x14ac:dyDescent="0.25">
      <c r="A808">
        <v>7</v>
      </c>
      <c r="B808" t="str">
        <f>HYPERLINK("https://imapinvasives.natureserve.org/imap/services/page/Presence/1289124.html", "View")</f>
        <v>View</v>
      </c>
      <c r="C808">
        <v>1289124</v>
      </c>
      <c r="D808">
        <v>1299219</v>
      </c>
      <c r="E808" t="str">
        <f>HYPERLINK("http://imap3images.s3-website-us-east-1.amazonaws.com/1299219/p/imap_app_photo_1661424986559.jpg", "View")</f>
        <v>View</v>
      </c>
      <c r="F808" t="s">
        <v>233</v>
      </c>
      <c r="G808" t="s">
        <v>234</v>
      </c>
      <c r="H808">
        <v>61321</v>
      </c>
      <c r="I808" t="str">
        <f>HYPERLINK("https://www.inaturalist.org/taxa/564969-Chamaenerion-angustifolium", "View")</f>
        <v>View</v>
      </c>
      <c r="J808" t="s">
        <v>238</v>
      </c>
      <c r="K808" t="s">
        <v>239</v>
      </c>
      <c r="L808">
        <v>564969</v>
      </c>
      <c r="M808">
        <v>3.93</v>
      </c>
      <c r="N808">
        <v>2.78</v>
      </c>
      <c r="P808">
        <v>0</v>
      </c>
      <c r="R808" t="s">
        <v>40</v>
      </c>
      <c r="S808" t="s">
        <v>28</v>
      </c>
      <c r="T808" t="s">
        <v>317</v>
      </c>
    </row>
    <row r="809" spans="1:20" x14ac:dyDescent="0.25">
      <c r="A809">
        <v>8</v>
      </c>
      <c r="B809" t="str">
        <f>HYPERLINK("https://imapinvasives.natureserve.org/imap/services/page/Presence/334304.html", "View")</f>
        <v>View</v>
      </c>
      <c r="C809">
        <v>334304</v>
      </c>
      <c r="D809">
        <v>334304</v>
      </c>
      <c r="E809" t="str">
        <f>HYPERLINK("http://imap3images.s3-website-us-east-1.amazonaws.com/334304/p/photourl1_2012_05_30_rebhargrave_qxlmxa4o.jpg", "View")</f>
        <v>View</v>
      </c>
      <c r="F809" t="s">
        <v>233</v>
      </c>
      <c r="G809" t="s">
        <v>234</v>
      </c>
      <c r="H809">
        <v>61321</v>
      </c>
      <c r="I809" t="str">
        <f>HYPERLINK("https://www.inaturalist.org/taxa/75916-Buddleja-davidii", "View")</f>
        <v>View</v>
      </c>
      <c r="J809" t="s">
        <v>240</v>
      </c>
      <c r="K809" t="s">
        <v>241</v>
      </c>
      <c r="L809">
        <v>75916</v>
      </c>
      <c r="M809">
        <v>1.76</v>
      </c>
      <c r="N809">
        <v>51.06</v>
      </c>
      <c r="P809">
        <v>0</v>
      </c>
      <c r="R809" t="s">
        <v>29</v>
      </c>
      <c r="S809" t="s">
        <v>33</v>
      </c>
      <c r="T809" t="s">
        <v>317</v>
      </c>
    </row>
    <row r="810" spans="1:20" x14ac:dyDescent="0.25">
      <c r="A810">
        <v>9</v>
      </c>
      <c r="B810" t="str">
        <f>HYPERLINK("https://imapinvasives.natureserve.org/imap/services/page/Presence/1157940.html", "View")</f>
        <v>View</v>
      </c>
      <c r="C810">
        <v>1157940</v>
      </c>
      <c r="D810">
        <v>1164995</v>
      </c>
      <c r="E810" t="str">
        <f>HYPERLINK("http://imap3images.s3-website-us-east-1.amazonaws.com/1164995/p/imap_app_photo_1628773105179.jpg", "View")</f>
        <v>View</v>
      </c>
      <c r="F810" t="s">
        <v>233</v>
      </c>
      <c r="G810" t="s">
        <v>234</v>
      </c>
      <c r="H810">
        <v>61321</v>
      </c>
      <c r="I810" t="str">
        <f>HYPERLINK("https://www.inaturalist.org/taxa/61321-Lythrum-salicaria", "View")</f>
        <v>View</v>
      </c>
      <c r="J810" t="s">
        <v>233</v>
      </c>
      <c r="K810" t="s">
        <v>235</v>
      </c>
      <c r="L810">
        <v>61321</v>
      </c>
      <c r="M810">
        <v>68.31</v>
      </c>
      <c r="N810">
        <v>97.76</v>
      </c>
      <c r="P810">
        <v>1</v>
      </c>
      <c r="R810" t="s">
        <v>23</v>
      </c>
      <c r="S810" t="s">
        <v>24</v>
      </c>
      <c r="T810" t="s">
        <v>316</v>
      </c>
    </row>
    <row r="811" spans="1:20" x14ac:dyDescent="0.25">
      <c r="A811">
        <v>10</v>
      </c>
      <c r="B811" t="str">
        <f>HYPERLINK("https://imapinvasives.natureserve.org/imap/services/page/Presence/514665.html", "View")</f>
        <v>View</v>
      </c>
      <c r="C811">
        <v>514665</v>
      </c>
      <c r="D811">
        <v>514665</v>
      </c>
      <c r="E811" t="str">
        <f>HYPERLINK("http://imap3images.s3-website-us-east-1.amazonaws.com/514665/p/photourl1_2017_09_21_steyoung_3y70wr8p.jpg", "View")</f>
        <v>View</v>
      </c>
      <c r="F811" t="s">
        <v>233</v>
      </c>
      <c r="G811" t="s">
        <v>234</v>
      </c>
      <c r="H811">
        <v>61321</v>
      </c>
      <c r="I811" t="str">
        <f>HYPERLINK("https://www.inaturalist.org/taxa/564969-Chamaenerion-angustifolium", "View")</f>
        <v>View</v>
      </c>
      <c r="J811" t="s">
        <v>238</v>
      </c>
      <c r="K811" t="s">
        <v>239</v>
      </c>
      <c r="L811">
        <v>564969</v>
      </c>
      <c r="M811">
        <v>20.68</v>
      </c>
      <c r="N811">
        <v>20.239999999999998</v>
      </c>
      <c r="P811">
        <v>0</v>
      </c>
      <c r="R811" t="s">
        <v>29</v>
      </c>
      <c r="S811" t="s">
        <v>28</v>
      </c>
      <c r="T811" t="s">
        <v>317</v>
      </c>
    </row>
    <row r="812" spans="1:20" x14ac:dyDescent="0.25">
      <c r="A812">
        <v>11</v>
      </c>
      <c r="B812" t="str">
        <f>HYPERLINK("https://imapinvasives.natureserve.org/imap/services/page/Presence/1069324.html", "View")</f>
        <v>View</v>
      </c>
      <c r="C812">
        <v>1069324</v>
      </c>
      <c r="D812">
        <v>1074182</v>
      </c>
      <c r="E812" t="str">
        <f>HYPERLINK("http://imap3images.s3-website-us-east-1.amazonaws.com/1074182/p/invasive_8.jpg", "View")</f>
        <v>View</v>
      </c>
      <c r="F812" t="s">
        <v>233</v>
      </c>
      <c r="G812" t="s">
        <v>234</v>
      </c>
      <c r="H812">
        <v>61321</v>
      </c>
      <c r="I812" t="str">
        <f>HYPERLINK("https://www.inaturalist.org/taxa/61321-Lythrum-salicaria", "View")</f>
        <v>View</v>
      </c>
      <c r="J812" t="s">
        <v>233</v>
      </c>
      <c r="K812" t="s">
        <v>235</v>
      </c>
      <c r="L812">
        <v>61321</v>
      </c>
      <c r="M812">
        <v>21.7</v>
      </c>
      <c r="N812">
        <v>61.2</v>
      </c>
      <c r="P812">
        <v>1</v>
      </c>
      <c r="R812" t="s">
        <v>23</v>
      </c>
      <c r="S812" t="s">
        <v>79</v>
      </c>
      <c r="T812" t="s">
        <v>317</v>
      </c>
    </row>
    <row r="813" spans="1:20" x14ac:dyDescent="0.25">
      <c r="A813">
        <v>12</v>
      </c>
      <c r="B813" t="str">
        <f>HYPERLINK("https://imapinvasives.natureserve.org/imap/services/page/Presence/513964.html", "View")</f>
        <v>View</v>
      </c>
      <c r="C813">
        <v>513964</v>
      </c>
      <c r="D813">
        <v>513964</v>
      </c>
      <c r="E813" t="str">
        <f>HYPERLINK("http://imap3images.s3-website-us-east-1.amazonaws.com/513964/p/photourl1_2017_08_20_erncoon_hqcx3ut7.jpg", "View")</f>
        <v>View</v>
      </c>
      <c r="F813" t="s">
        <v>233</v>
      </c>
      <c r="G813" t="s">
        <v>234</v>
      </c>
      <c r="H813">
        <v>61321</v>
      </c>
      <c r="I813" t="str">
        <f>HYPERLINK("https://www.inaturalist.org/taxa/61321-Lythrum-salicaria", "View")</f>
        <v>View</v>
      </c>
      <c r="J813" t="s">
        <v>233</v>
      </c>
      <c r="K813" t="s">
        <v>235</v>
      </c>
      <c r="L813">
        <v>61321</v>
      </c>
      <c r="M813">
        <v>76.09</v>
      </c>
      <c r="N813">
        <v>98.84</v>
      </c>
      <c r="P813">
        <v>1</v>
      </c>
      <c r="R813" t="s">
        <v>23</v>
      </c>
      <c r="S813" t="s">
        <v>24</v>
      </c>
      <c r="T813" t="s">
        <v>316</v>
      </c>
    </row>
    <row r="814" spans="1:20" x14ac:dyDescent="0.25">
      <c r="A814">
        <v>13</v>
      </c>
      <c r="B814" t="str">
        <f>HYPERLINK("https://imapinvasives.natureserve.org/imap/services/page/Presence/419982.html", "View")</f>
        <v>View</v>
      </c>
      <c r="C814">
        <v>419982</v>
      </c>
      <c r="D814">
        <v>419982</v>
      </c>
      <c r="E814" t="str">
        <f>HYPERLINK("http://imap3images.s3-website-us-east-1.amazonaws.com/419982/p/photourl2_2014_09_08_jerkrajna_s364fk03.jpg", "View")</f>
        <v>View</v>
      </c>
      <c r="F814" t="s">
        <v>233</v>
      </c>
      <c r="G814" t="s">
        <v>234</v>
      </c>
      <c r="H814">
        <v>61321</v>
      </c>
      <c r="I814" t="str">
        <f>HYPERLINK("https://www.inaturalist.org/taxa/61321-Lythrum-salicaria", "View")</f>
        <v>View</v>
      </c>
      <c r="J814" t="s">
        <v>233</v>
      </c>
      <c r="K814" t="s">
        <v>235</v>
      </c>
      <c r="L814">
        <v>61321</v>
      </c>
      <c r="M814">
        <v>44.82</v>
      </c>
      <c r="N814">
        <v>89.22</v>
      </c>
      <c r="P814">
        <v>1</v>
      </c>
      <c r="R814" t="s">
        <v>23</v>
      </c>
      <c r="S814" t="s">
        <v>34</v>
      </c>
      <c r="T814" t="s">
        <v>317</v>
      </c>
    </row>
    <row r="815" spans="1:20" x14ac:dyDescent="0.25">
      <c r="A815">
        <v>14</v>
      </c>
      <c r="B815" t="str">
        <f>HYPERLINK("https://imapinvasives.natureserve.org/imap/services/page/Presence/528954.html", "View")</f>
        <v>View</v>
      </c>
      <c r="C815">
        <v>528954</v>
      </c>
      <c r="D815">
        <v>528954</v>
      </c>
      <c r="E815" t="str">
        <f>HYPERLINK("http://imap3images.s3-website-us-east-1.amazonaws.com/528954/p/photourl1_2018_07_04_steyoung_96oe7w6y.jpg", "View")</f>
        <v>View</v>
      </c>
      <c r="F815" t="s">
        <v>233</v>
      </c>
      <c r="G815" t="s">
        <v>234</v>
      </c>
      <c r="H815">
        <v>61321</v>
      </c>
      <c r="I815" t="str">
        <f>HYPERLINK("https://www.inaturalist.org/taxa/130989-Euthamia-graminifolia", "View")</f>
        <v>View</v>
      </c>
      <c r="J815" t="s">
        <v>242</v>
      </c>
      <c r="K815" t="s">
        <v>243</v>
      </c>
      <c r="L815">
        <v>130989</v>
      </c>
      <c r="M815">
        <v>20.6</v>
      </c>
      <c r="N815">
        <v>10.96</v>
      </c>
      <c r="P815">
        <v>0</v>
      </c>
      <c r="R815" t="s">
        <v>29</v>
      </c>
      <c r="S815" t="s">
        <v>39</v>
      </c>
      <c r="T815" t="s">
        <v>317</v>
      </c>
    </row>
    <row r="816" spans="1:20" x14ac:dyDescent="0.25">
      <c r="A816">
        <v>15</v>
      </c>
      <c r="B816" t="str">
        <f>HYPERLINK("https://imapinvasives.natureserve.org/imap/services/page/Presence/494679.html", "View")</f>
        <v>View</v>
      </c>
      <c r="C816">
        <v>494679</v>
      </c>
      <c r="D816">
        <v>494679</v>
      </c>
      <c r="E816" t="str">
        <f>HYPERLINK("http://imap3images.s3-website-us-east-1.amazonaws.com/494679/p/photourl1_2016_08_24_aarbarrigar_1jgsittk.jpg", "View")</f>
        <v>View</v>
      </c>
      <c r="F816" t="s">
        <v>233</v>
      </c>
      <c r="G816" t="s">
        <v>234</v>
      </c>
      <c r="H816">
        <v>61321</v>
      </c>
      <c r="I816" t="str">
        <f>HYPERLINK("https://www.inaturalist.org/taxa/61321-Lythrum-salicaria", "View")</f>
        <v>View</v>
      </c>
      <c r="J816" t="s">
        <v>233</v>
      </c>
      <c r="K816" t="s">
        <v>235</v>
      </c>
      <c r="L816">
        <v>61321</v>
      </c>
      <c r="M816">
        <v>53.62</v>
      </c>
      <c r="N816">
        <v>95.42</v>
      </c>
      <c r="P816">
        <v>1</v>
      </c>
      <c r="R816" t="s">
        <v>23</v>
      </c>
      <c r="S816" t="s">
        <v>24</v>
      </c>
      <c r="T816" t="s">
        <v>316</v>
      </c>
    </row>
    <row r="817" spans="1:20" x14ac:dyDescent="0.25">
      <c r="A817">
        <v>16</v>
      </c>
      <c r="B817" t="str">
        <f>HYPERLINK("https://imapinvasives.natureserve.org/imap/services/page/Presence/420281.html", "View")</f>
        <v>View</v>
      </c>
      <c r="C817">
        <v>420281</v>
      </c>
      <c r="D817">
        <v>420281</v>
      </c>
      <c r="E817" t="str">
        <f>HYPERLINK("http://imap3images.s3-website-us-east-1.amazonaws.com/420281/p/photourl2_2014_09_09_angklinczar_b59oobjx.jpg", "View")</f>
        <v>View</v>
      </c>
      <c r="F817" t="s">
        <v>233</v>
      </c>
      <c r="G817" t="s">
        <v>234</v>
      </c>
      <c r="H817">
        <v>61321</v>
      </c>
      <c r="I817" t="str">
        <f>HYPERLINK("https://www.inaturalist.org/taxa/61321-Lythrum-salicaria", "View")</f>
        <v>View</v>
      </c>
      <c r="J817" t="s">
        <v>233</v>
      </c>
      <c r="K817" t="s">
        <v>235</v>
      </c>
      <c r="L817">
        <v>61321</v>
      </c>
      <c r="M817">
        <v>49.73</v>
      </c>
      <c r="N817">
        <v>87.79</v>
      </c>
      <c r="P817">
        <v>1</v>
      </c>
      <c r="R817" t="s">
        <v>23</v>
      </c>
      <c r="S817" t="s">
        <v>24</v>
      </c>
      <c r="T817" t="s">
        <v>316</v>
      </c>
    </row>
    <row r="818" spans="1:20" x14ac:dyDescent="0.25">
      <c r="A818">
        <v>17</v>
      </c>
      <c r="B818" t="str">
        <f>HYPERLINK("https://imapinvasives.natureserve.org/imap/services/page/Presence/1019204.html", "View")</f>
        <v>View</v>
      </c>
      <c r="C818">
        <v>1019204</v>
      </c>
      <c r="D818">
        <v>1019727</v>
      </c>
      <c r="E818" t="str">
        <f>HYPERLINK("http://imap3images.s3-website-us-east-1.amazonaws.com/1019727/p/imap_app_photo_1562341390895.jpg", "View")</f>
        <v>View</v>
      </c>
      <c r="F818" t="s">
        <v>233</v>
      </c>
      <c r="G818" t="s">
        <v>234</v>
      </c>
      <c r="H818">
        <v>61321</v>
      </c>
      <c r="I818" t="str">
        <f>HYPERLINK("https://www.inaturalist.org/taxa/61321-Lythrum-salicaria", "View")</f>
        <v>View</v>
      </c>
      <c r="J818" t="s">
        <v>233</v>
      </c>
      <c r="K818" t="s">
        <v>235</v>
      </c>
      <c r="L818">
        <v>61321</v>
      </c>
      <c r="M818">
        <v>70.03</v>
      </c>
      <c r="N818">
        <v>69.64</v>
      </c>
      <c r="P818">
        <v>1</v>
      </c>
      <c r="R818" t="s">
        <v>23</v>
      </c>
      <c r="S818" t="s">
        <v>24</v>
      </c>
      <c r="T818" t="s">
        <v>316</v>
      </c>
    </row>
    <row r="819" spans="1:20" x14ac:dyDescent="0.25">
      <c r="A819">
        <v>18</v>
      </c>
      <c r="B819" t="str">
        <f>HYPERLINK("https://imapinvasives.natureserve.org/imap/services/page/Presence/1348871.html", "View")</f>
        <v>View</v>
      </c>
      <c r="C819">
        <v>1348871</v>
      </c>
      <c r="D819">
        <v>1365639</v>
      </c>
      <c r="E819" t="str">
        <f>HYPERLINK("http://imap3images.s3-website-us-east-1.amazonaws.com/1365639/p/imap_app_photo_1692385855232.jpg", "View")</f>
        <v>View</v>
      </c>
      <c r="F819" t="s">
        <v>233</v>
      </c>
      <c r="G819" t="s">
        <v>234</v>
      </c>
      <c r="H819">
        <v>61321</v>
      </c>
      <c r="I819" t="str">
        <f>HYPERLINK("https://www.inaturalist.org/taxa/76610-Daucus-carota", "View")</f>
        <v>View</v>
      </c>
      <c r="J819" t="s">
        <v>244</v>
      </c>
      <c r="K819" t="s">
        <v>245</v>
      </c>
      <c r="L819">
        <v>76610</v>
      </c>
      <c r="M819">
        <v>20.27</v>
      </c>
      <c r="N819">
        <v>25.64</v>
      </c>
      <c r="P819">
        <v>0</v>
      </c>
      <c r="R819" t="s">
        <v>29</v>
      </c>
      <c r="S819" t="s">
        <v>28</v>
      </c>
      <c r="T819" t="s">
        <v>317</v>
      </c>
    </row>
    <row r="820" spans="1:20" x14ac:dyDescent="0.25">
      <c r="A820">
        <v>19</v>
      </c>
      <c r="B820" t="str">
        <f>HYPERLINK("https://imapinvasives.natureserve.org/imap/services/page/Presence/1062996.html", "View")</f>
        <v>View</v>
      </c>
      <c r="C820">
        <v>1062996</v>
      </c>
      <c r="D820">
        <v>1067666</v>
      </c>
      <c r="E820" t="str">
        <f>HYPERLINK("http://imap3images.s3-website-us-east-1.amazonaws.com/1067666/p/imap_app_photo_1597424930128.jpg", "View")</f>
        <v>View</v>
      </c>
      <c r="F820" t="s">
        <v>233</v>
      </c>
      <c r="G820" t="s">
        <v>234</v>
      </c>
      <c r="H820">
        <v>61321</v>
      </c>
      <c r="I820" t="str">
        <f>HYPERLINK("https://www.inaturalist.org/taxa/61321-Lythrum-salicaria", "View")</f>
        <v>View</v>
      </c>
      <c r="J820" t="s">
        <v>233</v>
      </c>
      <c r="K820" t="s">
        <v>235</v>
      </c>
      <c r="L820">
        <v>61321</v>
      </c>
      <c r="M820">
        <v>24.59</v>
      </c>
      <c r="N820">
        <v>99.87</v>
      </c>
      <c r="P820">
        <v>1</v>
      </c>
      <c r="R820" t="s">
        <v>23</v>
      </c>
      <c r="S820" t="s">
        <v>24</v>
      </c>
      <c r="T820" t="s">
        <v>316</v>
      </c>
    </row>
    <row r="821" spans="1:20" x14ac:dyDescent="0.25">
      <c r="A821">
        <v>20</v>
      </c>
      <c r="B821" t="str">
        <f>HYPERLINK("https://imapinvasives.natureserve.org/imap/services/page/Presence/1152888.html", "View")</f>
        <v>View</v>
      </c>
      <c r="C821">
        <v>1152888</v>
      </c>
      <c r="D821">
        <v>1159837</v>
      </c>
      <c r="E821" t="str">
        <f>HYPERLINK("http://imap3images.s3-website-us-east-1.amazonaws.com/1159837/p/imap_app_photo_1627400516378.jpg", "View")</f>
        <v>View</v>
      </c>
      <c r="F821" t="s">
        <v>233</v>
      </c>
      <c r="G821" t="s">
        <v>234</v>
      </c>
      <c r="H821">
        <v>61321</v>
      </c>
      <c r="I821" t="str">
        <f>HYPERLINK("https://www.inaturalist.org/taxa/61321-Lythrum-salicaria", "View")</f>
        <v>View</v>
      </c>
      <c r="J821" t="s">
        <v>233</v>
      </c>
      <c r="K821" t="s">
        <v>235</v>
      </c>
      <c r="L821">
        <v>61321</v>
      </c>
      <c r="M821">
        <v>46.38</v>
      </c>
      <c r="N821">
        <v>85.8</v>
      </c>
      <c r="P821">
        <v>1</v>
      </c>
      <c r="R821" t="s">
        <v>23</v>
      </c>
      <c r="S821" t="s">
        <v>24</v>
      </c>
      <c r="T821" t="s">
        <v>316</v>
      </c>
    </row>
    <row r="822" spans="1:20" x14ac:dyDescent="0.25">
      <c r="A822">
        <v>21</v>
      </c>
      <c r="B822" t="str">
        <f>HYPERLINK("https://imapinvasives.natureserve.org/imap/services/page/Presence/334285.html", "View")</f>
        <v>View</v>
      </c>
      <c r="C822">
        <v>334285</v>
      </c>
      <c r="D822">
        <v>334285</v>
      </c>
      <c r="E822" t="str">
        <f>HYPERLINK("http://imap3images.s3-website-us-east-1.amazonaws.com/334285/p/photourl1_2012_08_09_mikdurant_1norbtrk.jpg", "View")</f>
        <v>View</v>
      </c>
      <c r="F822" t="s">
        <v>233</v>
      </c>
      <c r="G822" t="s">
        <v>234</v>
      </c>
      <c r="H822">
        <v>61321</v>
      </c>
      <c r="I822" t="str">
        <f>HYPERLINK("https://www.inaturalist.org/taxa/61321-Lythrum-salicaria", "View")</f>
        <v>View</v>
      </c>
      <c r="J822" t="s">
        <v>233</v>
      </c>
      <c r="K822" t="s">
        <v>235</v>
      </c>
      <c r="L822">
        <v>61321</v>
      </c>
      <c r="M822">
        <v>26.1</v>
      </c>
      <c r="N822">
        <v>99.66</v>
      </c>
      <c r="P822">
        <v>1</v>
      </c>
      <c r="R822" t="s">
        <v>23</v>
      </c>
      <c r="S822" t="s">
        <v>24</v>
      </c>
      <c r="T822" t="s">
        <v>316</v>
      </c>
    </row>
    <row r="823" spans="1:20" x14ac:dyDescent="0.25">
      <c r="A823">
        <v>22</v>
      </c>
      <c r="B823" t="str">
        <f>HYPERLINK("https://imapinvasives.natureserve.org/imap/services/page/Presence/1151922.html", "View")</f>
        <v>View</v>
      </c>
      <c r="C823">
        <v>1151922</v>
      </c>
      <c r="D823">
        <v>1158824</v>
      </c>
      <c r="E823" t="str">
        <f>HYPERLINK("http://imap3images.s3-website-us-east-1.amazonaws.com/1158824/p/imap_app_photo_1626812982891.jpg", "View")</f>
        <v>View</v>
      </c>
      <c r="F823" t="s">
        <v>233</v>
      </c>
      <c r="G823" t="s">
        <v>234</v>
      </c>
      <c r="H823">
        <v>61321</v>
      </c>
      <c r="I823" t="str">
        <f>HYPERLINK("https://www.inaturalist.org/taxa/61321-Lythrum-salicaria", "View")</f>
        <v>View</v>
      </c>
      <c r="J823" t="s">
        <v>233</v>
      </c>
      <c r="K823" t="s">
        <v>235</v>
      </c>
      <c r="L823">
        <v>61321</v>
      </c>
      <c r="M823">
        <v>23.06</v>
      </c>
      <c r="N823">
        <v>99.42</v>
      </c>
      <c r="P823">
        <v>1</v>
      </c>
      <c r="R823" t="s">
        <v>23</v>
      </c>
      <c r="S823" t="s">
        <v>24</v>
      </c>
      <c r="T823" t="s">
        <v>316</v>
      </c>
    </row>
    <row r="824" spans="1:20" x14ac:dyDescent="0.25">
      <c r="A824">
        <v>23</v>
      </c>
      <c r="B824" t="str">
        <f>HYPERLINK("https://imapinvasives.natureserve.org/imap/services/page/Presence/1327343.html", "View")</f>
        <v>View</v>
      </c>
      <c r="C824">
        <v>1327343</v>
      </c>
      <c r="D824">
        <v>1340292</v>
      </c>
      <c r="E824" t="str">
        <f>HYPERLINK("http://imap3images.s3-website-us-east-1.amazonaws.com/1340292/p/imap_app_photo_1683046959407.jpg", "View")</f>
        <v>View</v>
      </c>
      <c r="F824" t="s">
        <v>233</v>
      </c>
      <c r="G824" t="s">
        <v>234</v>
      </c>
      <c r="H824">
        <v>61321</v>
      </c>
      <c r="I824" t="str">
        <f>HYPERLINK("https://www.inaturalist.org/taxa/48682-Spiraea-tomentosa", "View")</f>
        <v>View</v>
      </c>
      <c r="J824" t="s">
        <v>246</v>
      </c>
      <c r="K824" t="s">
        <v>247</v>
      </c>
      <c r="L824">
        <v>48682</v>
      </c>
      <c r="M824">
        <v>11.91</v>
      </c>
      <c r="N824">
        <v>51.5</v>
      </c>
      <c r="P824">
        <v>0</v>
      </c>
      <c r="R824" t="s">
        <v>29</v>
      </c>
      <c r="S824" t="s">
        <v>64</v>
      </c>
      <c r="T824" t="s">
        <v>317</v>
      </c>
    </row>
    <row r="825" spans="1:20" x14ac:dyDescent="0.25">
      <c r="A825">
        <v>24</v>
      </c>
      <c r="B825" t="str">
        <f>HYPERLINK("https://imapinvasives.natureserve.org/imap/services/page/Presence/1287158.html", "View")</f>
        <v>View</v>
      </c>
      <c r="C825">
        <v>1287158</v>
      </c>
      <c r="D825">
        <v>1296978</v>
      </c>
      <c r="E825" t="str">
        <f>HYPERLINK("http://imap3images.s3-website-us-east-1.amazonaws.com/1296978/p/imap_app_photo_1660663339675.jpg", "View")</f>
        <v>View</v>
      </c>
      <c r="F825" t="s">
        <v>233</v>
      </c>
      <c r="G825" t="s">
        <v>234</v>
      </c>
      <c r="H825">
        <v>61321</v>
      </c>
      <c r="I825" t="str">
        <f>HYPERLINK("https://www.inaturalist.org/taxa/60316-Typha-angustifolia", "View")</f>
        <v>View</v>
      </c>
      <c r="J825" t="s">
        <v>248</v>
      </c>
      <c r="K825" t="s">
        <v>249</v>
      </c>
      <c r="L825">
        <v>60316</v>
      </c>
      <c r="M825">
        <v>10.34</v>
      </c>
      <c r="N825">
        <v>57.94</v>
      </c>
      <c r="P825">
        <v>0</v>
      </c>
      <c r="R825" t="s">
        <v>29</v>
      </c>
      <c r="S825" t="s">
        <v>28</v>
      </c>
      <c r="T825" t="s">
        <v>317</v>
      </c>
    </row>
    <row r="826" spans="1:20" x14ac:dyDescent="0.25">
      <c r="A826">
        <v>25</v>
      </c>
      <c r="B826" t="str">
        <f>HYPERLINK("https://imapinvasives.natureserve.org/imap/services/page/Presence/1069216.html", "View")</f>
        <v>View</v>
      </c>
      <c r="C826">
        <v>1069216</v>
      </c>
      <c r="D826">
        <v>1074074</v>
      </c>
      <c r="E826" t="str">
        <f>HYPERLINK("http://imap3images.s3-website-us-east-1.amazonaws.com/1074074/p/imap_app_photo_1600205061720.jpg", "View")</f>
        <v>View</v>
      </c>
      <c r="F826" t="s">
        <v>233</v>
      </c>
      <c r="G826" t="s">
        <v>234</v>
      </c>
      <c r="H826">
        <v>61321</v>
      </c>
      <c r="I826" t="str">
        <f>HYPERLINK("https://www.inaturalist.org/taxa/61321-Lythrum-salicaria", "View")</f>
        <v>View</v>
      </c>
      <c r="J826" t="s">
        <v>233</v>
      </c>
      <c r="K826" t="s">
        <v>235</v>
      </c>
      <c r="L826">
        <v>61321</v>
      </c>
      <c r="M826">
        <v>32.47</v>
      </c>
      <c r="N826">
        <v>77.88</v>
      </c>
      <c r="P826">
        <v>1</v>
      </c>
      <c r="R826" t="s">
        <v>23</v>
      </c>
      <c r="S826" t="s">
        <v>24</v>
      </c>
      <c r="T826" t="s">
        <v>316</v>
      </c>
    </row>
    <row r="827" spans="1:20" x14ac:dyDescent="0.25">
      <c r="A827">
        <v>26</v>
      </c>
      <c r="B827" t="str">
        <f>HYPERLINK("https://imapinvasives.natureserve.org/imap/services/page/Presence/532448.html", "View")</f>
        <v>View</v>
      </c>
      <c r="C827">
        <v>532448</v>
      </c>
      <c r="D827">
        <v>532448</v>
      </c>
      <c r="E827" t="str">
        <f>HYPERLINK("http://imap3images.s3-website-us-east-1.amazonaws.com/532448/p/photourl1_2018_11_01_lukgervase_yifl0rdu.jpg", "View")</f>
        <v>View</v>
      </c>
      <c r="F827" t="s">
        <v>233</v>
      </c>
      <c r="G827" t="s">
        <v>234</v>
      </c>
      <c r="H827">
        <v>61321</v>
      </c>
      <c r="I827" t="str">
        <f>HYPERLINK("https://www.inaturalist.org/taxa/77902-Lycium-barbarum", "View")</f>
        <v>View</v>
      </c>
      <c r="J827" t="s">
        <v>250</v>
      </c>
      <c r="K827" t="s">
        <v>251</v>
      </c>
      <c r="L827">
        <v>77902</v>
      </c>
      <c r="M827">
        <v>12.74</v>
      </c>
      <c r="N827">
        <v>22.16</v>
      </c>
      <c r="P827">
        <v>0</v>
      </c>
      <c r="R827" t="s">
        <v>29</v>
      </c>
      <c r="S827" t="s">
        <v>33</v>
      </c>
      <c r="T827" t="s">
        <v>317</v>
      </c>
    </row>
    <row r="828" spans="1:20" x14ac:dyDescent="0.25">
      <c r="A828">
        <v>27</v>
      </c>
      <c r="B828" t="str">
        <f>HYPERLINK("https://imapinvasives.natureserve.org/imap/services/page/Presence/419280.html", "View")</f>
        <v>View</v>
      </c>
      <c r="C828">
        <v>419280</v>
      </c>
      <c r="D828">
        <v>419280</v>
      </c>
      <c r="E828" t="str">
        <f>HYPERLINK("http://imap3images.s3-website-us-east-1.amazonaws.com/419280/p/photourl1_2014_08_22_jerkrajna_iw61cizt.jpg", "View")</f>
        <v>View</v>
      </c>
      <c r="F828" t="s">
        <v>233</v>
      </c>
      <c r="G828" t="s">
        <v>234</v>
      </c>
      <c r="H828">
        <v>61321</v>
      </c>
      <c r="I828" t="str">
        <f>HYPERLINK("https://www.inaturalist.org/taxa/61321-Lythrum-salicaria", "View")</f>
        <v>View</v>
      </c>
      <c r="J828" t="s">
        <v>233</v>
      </c>
      <c r="K828" t="s">
        <v>235</v>
      </c>
      <c r="L828">
        <v>61321</v>
      </c>
      <c r="M828">
        <v>51.59</v>
      </c>
      <c r="N828">
        <v>96.15</v>
      </c>
      <c r="P828">
        <v>1</v>
      </c>
      <c r="R828" t="s">
        <v>23</v>
      </c>
      <c r="S828" t="s">
        <v>24</v>
      </c>
      <c r="T828" t="s">
        <v>316</v>
      </c>
    </row>
    <row r="829" spans="1:20" x14ac:dyDescent="0.25">
      <c r="A829">
        <v>28</v>
      </c>
      <c r="B829" t="str">
        <f>HYPERLINK("https://imapinvasives.natureserve.org/imap/services/page/Presence/1349033.html", "View")</f>
        <v>View</v>
      </c>
      <c r="C829">
        <v>1349033</v>
      </c>
      <c r="D829">
        <v>1365804</v>
      </c>
      <c r="E829" t="str">
        <f>HYPERLINK("http://imap3images.s3-website-us-east-1.amazonaws.com/1365804/p/imap_app_photo_1692560670484.jpg", "View")</f>
        <v>View</v>
      </c>
      <c r="F829" t="s">
        <v>233</v>
      </c>
      <c r="G829" t="s">
        <v>234</v>
      </c>
      <c r="H829">
        <v>61321</v>
      </c>
      <c r="I829" t="str">
        <f>HYPERLINK("https://www.inaturalist.org/taxa/61321-Lythrum-salicaria", "View")</f>
        <v>View</v>
      </c>
      <c r="J829" t="s">
        <v>233</v>
      </c>
      <c r="K829" t="s">
        <v>235</v>
      </c>
      <c r="L829">
        <v>61321</v>
      </c>
      <c r="M829">
        <v>37.86</v>
      </c>
      <c r="N829">
        <v>99.73</v>
      </c>
      <c r="P829">
        <v>1</v>
      </c>
      <c r="R829" t="s">
        <v>23</v>
      </c>
      <c r="S829" t="s">
        <v>24</v>
      </c>
      <c r="T829" t="s">
        <v>316</v>
      </c>
    </row>
    <row r="830" spans="1:20" x14ac:dyDescent="0.25">
      <c r="A830">
        <v>29</v>
      </c>
      <c r="B830" t="str">
        <f>HYPERLINK("https://imapinvasives.natureserve.org/imap/services/page/Presence/1288179.html", "View")</f>
        <v>View</v>
      </c>
      <c r="C830">
        <v>1288179</v>
      </c>
      <c r="D830">
        <v>1298130</v>
      </c>
      <c r="E830" t="str">
        <f>HYPERLINK("http://imap3images.s3-website-us-east-1.amazonaws.com/1298130/p/imap_app_photo_1660896802575.jpg", "View")</f>
        <v>View</v>
      </c>
      <c r="F830" t="s">
        <v>233</v>
      </c>
      <c r="G830" t="s">
        <v>234</v>
      </c>
      <c r="H830">
        <v>61321</v>
      </c>
      <c r="I830" t="str">
        <f>HYPERLINK("https://www.inaturalist.org/taxa/167829-Rhus-typhina", "View")</f>
        <v>View</v>
      </c>
      <c r="J830" t="s">
        <v>252</v>
      </c>
      <c r="K830" t="s">
        <v>253</v>
      </c>
      <c r="L830">
        <v>167829</v>
      </c>
      <c r="M830">
        <v>40.380000000000003</v>
      </c>
      <c r="N830">
        <v>82.72</v>
      </c>
      <c r="P830">
        <v>0</v>
      </c>
      <c r="R830" t="s">
        <v>27</v>
      </c>
      <c r="S830" t="s">
        <v>39</v>
      </c>
      <c r="T830" t="s">
        <v>317</v>
      </c>
    </row>
    <row r="831" spans="1:20" x14ac:dyDescent="0.25">
      <c r="A831">
        <v>30</v>
      </c>
      <c r="B831" t="str">
        <f>HYPERLINK("https://imapinvasives.natureserve.org/imap/services/page/Presence/1153185.html", "View")</f>
        <v>View</v>
      </c>
      <c r="C831">
        <v>1153185</v>
      </c>
      <c r="D831">
        <v>1160144</v>
      </c>
      <c r="E831" t="str">
        <f>HYPERLINK("http://imap3images.s3-website-us-east-1.amazonaws.com/1160144/p/imap_app_photo_1627586958649.jpg", "View")</f>
        <v>View</v>
      </c>
      <c r="F831" t="s">
        <v>233</v>
      </c>
      <c r="G831" t="s">
        <v>234</v>
      </c>
      <c r="H831">
        <v>61321</v>
      </c>
      <c r="I831" t="str">
        <f>HYPERLINK("https://www.inaturalist.org/taxa/76610-Daucus-carota", "View")</f>
        <v>View</v>
      </c>
      <c r="J831" t="s">
        <v>244</v>
      </c>
      <c r="K831" t="s">
        <v>245</v>
      </c>
      <c r="L831">
        <v>76610</v>
      </c>
      <c r="M831">
        <v>48.62</v>
      </c>
      <c r="N831">
        <v>22.72</v>
      </c>
      <c r="P831">
        <v>0</v>
      </c>
      <c r="R831" t="s">
        <v>27</v>
      </c>
      <c r="S831" t="s">
        <v>28</v>
      </c>
      <c r="T831" t="s">
        <v>317</v>
      </c>
    </row>
    <row r="832" spans="1:20" x14ac:dyDescent="0.25">
      <c r="A832">
        <v>31</v>
      </c>
      <c r="B832" t="str">
        <f>HYPERLINK("https://imapinvasives.natureserve.org/imap/services/page/Presence/1287466.html", "View")</f>
        <v>View</v>
      </c>
      <c r="C832">
        <v>1287466</v>
      </c>
      <c r="D832">
        <v>1297348</v>
      </c>
      <c r="E832" t="str">
        <f>HYPERLINK("http://imap3images.s3-website-us-east-1.amazonaws.com/1297348/p/P1160696.JPG", "View")</f>
        <v>View</v>
      </c>
      <c r="F832" t="s">
        <v>233</v>
      </c>
      <c r="G832" t="s">
        <v>234</v>
      </c>
      <c r="H832">
        <v>61321</v>
      </c>
      <c r="I832" t="str">
        <f>HYPERLINK("https://www.inaturalist.org/taxa/61321-Lythrum-salicaria", "View")</f>
        <v>View</v>
      </c>
      <c r="J832" t="s">
        <v>233</v>
      </c>
      <c r="K832" t="s">
        <v>235</v>
      </c>
      <c r="L832">
        <v>61321</v>
      </c>
      <c r="M832">
        <v>76.09</v>
      </c>
      <c r="N832">
        <v>99.1</v>
      </c>
      <c r="P832">
        <v>1</v>
      </c>
      <c r="R832" t="s">
        <v>23</v>
      </c>
      <c r="S832" t="s">
        <v>24</v>
      </c>
      <c r="T832" t="s">
        <v>316</v>
      </c>
    </row>
    <row r="833" spans="1:20" x14ac:dyDescent="0.25">
      <c r="A833">
        <v>32</v>
      </c>
      <c r="B833" t="str">
        <f>HYPERLINK("https://imapinvasives.natureserve.org/imap/services/page/Presence/494052.html", "View")</f>
        <v>View</v>
      </c>
      <c r="C833">
        <v>494052</v>
      </c>
      <c r="D833">
        <v>494052</v>
      </c>
      <c r="E833" t="str">
        <f>HYPERLINK("http://imap3images.s3-website-us-east-1.amazonaws.com/494052/p/photourl1_2016_07_31_laugailor_y6gyvlak.jpg", "View")</f>
        <v>View</v>
      </c>
      <c r="F833" t="s">
        <v>233</v>
      </c>
      <c r="G833" t="s">
        <v>234</v>
      </c>
      <c r="H833">
        <v>61321</v>
      </c>
      <c r="I833" t="str">
        <f>HYPERLINK("https://www.inaturalist.org/taxa/61321-Lythrum-salicaria", "View")</f>
        <v>View</v>
      </c>
      <c r="J833" t="s">
        <v>233</v>
      </c>
      <c r="K833" t="s">
        <v>235</v>
      </c>
      <c r="L833">
        <v>61321</v>
      </c>
      <c r="M833">
        <v>49.73</v>
      </c>
      <c r="N833">
        <v>99.76</v>
      </c>
      <c r="P833">
        <v>1</v>
      </c>
      <c r="R833" t="s">
        <v>23</v>
      </c>
      <c r="S833" t="s">
        <v>24</v>
      </c>
      <c r="T833" t="s">
        <v>316</v>
      </c>
    </row>
    <row r="834" spans="1:20" x14ac:dyDescent="0.25">
      <c r="A834">
        <v>33</v>
      </c>
      <c r="B834" t="str">
        <f>HYPERLINK("https://imapinvasives.natureserve.org/imap/services/page/Presence/334260.html", "View")</f>
        <v>View</v>
      </c>
      <c r="C834">
        <v>334260</v>
      </c>
      <c r="D834">
        <v>334260</v>
      </c>
      <c r="E834" t="str">
        <f>HYPERLINK("http://imap3images.s3-website-us-east-1.amazonaws.com/334260/p/photourl1_2012_09_14_krigilbert_7aecc4os.jpg", "View")</f>
        <v>View</v>
      </c>
      <c r="F834" t="s">
        <v>233</v>
      </c>
      <c r="G834" t="s">
        <v>234</v>
      </c>
      <c r="H834">
        <v>61321</v>
      </c>
      <c r="I834" t="str">
        <f t="shared" ref="I834:I839" si="36">HYPERLINK("https://www.inaturalist.org/taxa/61321-Lythrum-salicaria", "View")</f>
        <v>View</v>
      </c>
      <c r="J834" t="s">
        <v>233</v>
      </c>
      <c r="K834" t="s">
        <v>235</v>
      </c>
      <c r="L834">
        <v>61321</v>
      </c>
      <c r="M834">
        <v>13.43</v>
      </c>
      <c r="N834">
        <v>48.42</v>
      </c>
      <c r="P834">
        <v>1</v>
      </c>
      <c r="R834" t="s">
        <v>23</v>
      </c>
      <c r="S834" t="s">
        <v>33</v>
      </c>
      <c r="T834" t="s">
        <v>317</v>
      </c>
    </row>
    <row r="835" spans="1:20" x14ac:dyDescent="0.25">
      <c r="A835">
        <v>34</v>
      </c>
      <c r="B835" t="str">
        <f>HYPERLINK("https://imapinvasives.natureserve.org/imap/services/page/Presence/527412.html", "View")</f>
        <v>View</v>
      </c>
      <c r="C835">
        <v>527412</v>
      </c>
      <c r="D835">
        <v>527412</v>
      </c>
      <c r="E835" t="str">
        <f>HYPERLINK("http://imap3images.s3-website-us-east-1.amazonaws.com/527412/p/photourl1_2018_06_20_steyoung_tuhpd7ux.jpg", "View")</f>
        <v>View</v>
      </c>
      <c r="F835" t="s">
        <v>233</v>
      </c>
      <c r="G835" t="s">
        <v>234</v>
      </c>
      <c r="H835">
        <v>61321</v>
      </c>
      <c r="I835" t="str">
        <f t="shared" si="36"/>
        <v>View</v>
      </c>
      <c r="J835" t="s">
        <v>233</v>
      </c>
      <c r="K835" t="s">
        <v>235</v>
      </c>
      <c r="L835">
        <v>61321</v>
      </c>
      <c r="M835">
        <v>61.37</v>
      </c>
      <c r="N835">
        <v>19.190000000000001</v>
      </c>
      <c r="P835">
        <v>1</v>
      </c>
      <c r="R835" t="s">
        <v>23</v>
      </c>
      <c r="S835" t="s">
        <v>24</v>
      </c>
      <c r="T835" t="s">
        <v>316</v>
      </c>
    </row>
    <row r="836" spans="1:20" x14ac:dyDescent="0.25">
      <c r="A836">
        <v>35</v>
      </c>
      <c r="B836" t="str">
        <f>HYPERLINK("https://imapinvasives.natureserve.org/imap/services/page/Presence/1159305.html", "View")</f>
        <v>View</v>
      </c>
      <c r="C836">
        <v>1159305</v>
      </c>
      <c r="D836">
        <v>1166387</v>
      </c>
      <c r="E836" t="str">
        <f>HYPERLINK("http://imap3images.s3-website-us-east-1.amazonaws.com/1166387/p/imap_app_photo_1629383980120.jpg", "View")</f>
        <v>View</v>
      </c>
      <c r="F836" t="s">
        <v>233</v>
      </c>
      <c r="G836" t="s">
        <v>234</v>
      </c>
      <c r="H836">
        <v>61321</v>
      </c>
      <c r="I836" t="str">
        <f t="shared" si="36"/>
        <v>View</v>
      </c>
      <c r="J836" t="s">
        <v>233</v>
      </c>
      <c r="K836" t="s">
        <v>235</v>
      </c>
      <c r="L836">
        <v>61321</v>
      </c>
      <c r="M836">
        <v>64.349999999999994</v>
      </c>
      <c r="N836">
        <v>99.97</v>
      </c>
      <c r="P836">
        <v>1</v>
      </c>
      <c r="R836" t="s">
        <v>23</v>
      </c>
      <c r="S836" t="s">
        <v>24</v>
      </c>
      <c r="T836" t="s">
        <v>316</v>
      </c>
    </row>
    <row r="837" spans="1:20" x14ac:dyDescent="0.25">
      <c r="A837">
        <v>36</v>
      </c>
      <c r="B837" t="str">
        <f>HYPERLINK("https://imapinvasives.natureserve.org/imap/services/page/Presence/449171.html", "View")</f>
        <v>View</v>
      </c>
      <c r="C837">
        <v>449171</v>
      </c>
      <c r="D837">
        <v>449171</v>
      </c>
      <c r="E837" t="str">
        <f>HYPERLINK("http://imap3images.s3-website-us-east-1.amazonaws.com/449171/p/photourl1_2015_08_05_megwilkinson_8cb58i2l.jpg", "View")</f>
        <v>View</v>
      </c>
      <c r="F837" t="s">
        <v>233</v>
      </c>
      <c r="G837" t="s">
        <v>234</v>
      </c>
      <c r="H837">
        <v>61321</v>
      </c>
      <c r="I837" t="str">
        <f t="shared" si="36"/>
        <v>View</v>
      </c>
      <c r="J837" t="s">
        <v>233</v>
      </c>
      <c r="K837" t="s">
        <v>235</v>
      </c>
      <c r="L837">
        <v>61321</v>
      </c>
      <c r="M837">
        <v>64.349999999999994</v>
      </c>
      <c r="N837">
        <v>63.12</v>
      </c>
      <c r="P837">
        <v>1</v>
      </c>
      <c r="R837" t="s">
        <v>23</v>
      </c>
      <c r="S837" t="s">
        <v>39</v>
      </c>
      <c r="T837" t="s">
        <v>317</v>
      </c>
    </row>
    <row r="838" spans="1:20" x14ac:dyDescent="0.25">
      <c r="A838">
        <v>37</v>
      </c>
      <c r="B838" t="str">
        <f>HYPERLINK("https://imapinvasives.natureserve.org/imap/services/page/Presence/1068860.html", "View")</f>
        <v>View</v>
      </c>
      <c r="C838">
        <v>1068860</v>
      </c>
      <c r="D838">
        <v>1073703</v>
      </c>
      <c r="E838" t="str">
        <f>HYPERLINK("http://imap3images.s3-website-us-east-1.amazonaws.com/1073703/p/imap_app_photo_1599935150501.jpg", "View")</f>
        <v>View</v>
      </c>
      <c r="F838" t="s">
        <v>233</v>
      </c>
      <c r="G838" t="s">
        <v>234</v>
      </c>
      <c r="H838">
        <v>61321</v>
      </c>
      <c r="I838" t="str">
        <f t="shared" si="36"/>
        <v>View</v>
      </c>
      <c r="J838" t="s">
        <v>233</v>
      </c>
      <c r="K838" t="s">
        <v>235</v>
      </c>
      <c r="L838">
        <v>61321</v>
      </c>
      <c r="M838">
        <v>32.47</v>
      </c>
      <c r="N838">
        <v>99.95</v>
      </c>
      <c r="P838">
        <v>1</v>
      </c>
      <c r="R838" t="s">
        <v>23</v>
      </c>
      <c r="S838" t="s">
        <v>24</v>
      </c>
      <c r="T838" t="s">
        <v>316</v>
      </c>
    </row>
    <row r="839" spans="1:20" x14ac:dyDescent="0.25">
      <c r="A839">
        <v>38</v>
      </c>
      <c r="B839" t="str">
        <f>HYPERLINK("https://imapinvasives.natureserve.org/imap/services/page/Presence/1285438.html", "View")</f>
        <v>View</v>
      </c>
      <c r="C839">
        <v>1285438</v>
      </c>
      <c r="D839">
        <v>1295074</v>
      </c>
      <c r="E839" t="str">
        <f>HYPERLINK("http://imap3images.s3-website-us-east-1.amazonaws.com/1295074/p/imap_app_photo_1659823948392.jpg", "View")</f>
        <v>View</v>
      </c>
      <c r="F839" t="s">
        <v>233</v>
      </c>
      <c r="G839" t="s">
        <v>234</v>
      </c>
      <c r="H839">
        <v>61321</v>
      </c>
      <c r="I839" t="str">
        <f t="shared" si="36"/>
        <v>View</v>
      </c>
      <c r="J839" t="s">
        <v>233</v>
      </c>
      <c r="K839" t="s">
        <v>235</v>
      </c>
      <c r="L839">
        <v>61321</v>
      </c>
      <c r="M839">
        <v>21</v>
      </c>
      <c r="N839">
        <v>99.49</v>
      </c>
      <c r="P839">
        <v>1</v>
      </c>
      <c r="R839" t="s">
        <v>23</v>
      </c>
      <c r="S839" t="s">
        <v>24</v>
      </c>
      <c r="T839" t="s">
        <v>316</v>
      </c>
    </row>
    <row r="840" spans="1:20" x14ac:dyDescent="0.25">
      <c r="A840">
        <v>39</v>
      </c>
      <c r="B840" t="str">
        <f>HYPERLINK("https://imapinvasives.natureserve.org/imap/services/page/Presence/1283595.html", "View")</f>
        <v>View</v>
      </c>
      <c r="C840">
        <v>1283595</v>
      </c>
      <c r="D840">
        <v>1293102</v>
      </c>
      <c r="E840" t="str">
        <f>HYPERLINK("http://imap3images.s3-website-us-east-1.amazonaws.com/1293102/p/imap_app_photo_1658699100633.jpg", "View")</f>
        <v>View</v>
      </c>
      <c r="F840" t="s">
        <v>233</v>
      </c>
      <c r="G840" t="s">
        <v>234</v>
      </c>
      <c r="H840">
        <v>61321</v>
      </c>
      <c r="I840" t="str">
        <f>HYPERLINK("https://www.inaturalist.org/taxa/85024-Heraclides-cresphontes", "View")</f>
        <v>View</v>
      </c>
      <c r="J840" t="s">
        <v>254</v>
      </c>
      <c r="K840" t="s">
        <v>255</v>
      </c>
      <c r="L840">
        <v>85024</v>
      </c>
      <c r="M840">
        <v>17.84</v>
      </c>
      <c r="N840">
        <v>53.32</v>
      </c>
      <c r="P840">
        <v>0</v>
      </c>
      <c r="R840" t="s">
        <v>29</v>
      </c>
      <c r="S840" t="s">
        <v>28</v>
      </c>
      <c r="T840" t="s">
        <v>317</v>
      </c>
    </row>
    <row r="841" spans="1:20" x14ac:dyDescent="0.25">
      <c r="A841">
        <v>40</v>
      </c>
      <c r="B841" t="str">
        <f>HYPERLINK("https://imapinvasives.natureserve.org/imap/services/page/Presence/1409553.html", "View")</f>
        <v>View</v>
      </c>
      <c r="C841">
        <v>1409553</v>
      </c>
      <c r="D841">
        <v>1421994</v>
      </c>
      <c r="E841" t="str">
        <f>HYPERLINK("http://imap3images.s3-website-us-east-1.amazonaws.com/1421994/p/Photo_1.jpg", "View")</f>
        <v>View</v>
      </c>
      <c r="F841" t="s">
        <v>233</v>
      </c>
      <c r="G841" t="s">
        <v>234</v>
      </c>
      <c r="H841">
        <v>61321</v>
      </c>
      <c r="I841" t="str">
        <f>HYPERLINK("https://www.inaturalist.org/taxa/83456-Decodon-verticillatus", "View")</f>
        <v>View</v>
      </c>
      <c r="J841" t="s">
        <v>256</v>
      </c>
      <c r="K841" t="s">
        <v>257</v>
      </c>
      <c r="L841">
        <v>83456</v>
      </c>
      <c r="M841">
        <v>6.58</v>
      </c>
      <c r="N841">
        <v>4.84</v>
      </c>
      <c r="P841">
        <v>0</v>
      </c>
      <c r="R841" t="s">
        <v>40</v>
      </c>
      <c r="S841" t="s">
        <v>28</v>
      </c>
      <c r="T841" t="s">
        <v>317</v>
      </c>
    </row>
    <row r="842" spans="1:20" x14ac:dyDescent="0.25">
      <c r="A842">
        <v>41</v>
      </c>
      <c r="B842" t="str">
        <f>HYPERLINK("https://imapinvasives.natureserve.org/imap/services/page/Presence/1348221.html", "View")</f>
        <v>View</v>
      </c>
      <c r="C842">
        <v>1348221</v>
      </c>
      <c r="D842">
        <v>1364930</v>
      </c>
      <c r="E842" t="str">
        <f>HYPERLINK("http://imap3images.s3-website-us-east-1.amazonaws.com/1364930/p/Photo1-20230814-082356.jpg", "View")</f>
        <v>View</v>
      </c>
      <c r="F842" t="s">
        <v>233</v>
      </c>
      <c r="G842" t="s">
        <v>234</v>
      </c>
      <c r="H842">
        <v>61321</v>
      </c>
      <c r="I842" t="str">
        <f>HYPERLINK("https://www.inaturalist.org/taxa/61321-Lythrum-salicaria", "View")</f>
        <v>View</v>
      </c>
      <c r="J842" t="s">
        <v>233</v>
      </c>
      <c r="K842" t="s">
        <v>235</v>
      </c>
      <c r="L842">
        <v>61321</v>
      </c>
      <c r="M842">
        <v>16.91</v>
      </c>
      <c r="N842">
        <v>99.58</v>
      </c>
      <c r="P842">
        <v>1</v>
      </c>
      <c r="R842" t="s">
        <v>23</v>
      </c>
      <c r="S842" t="s">
        <v>24</v>
      </c>
      <c r="T842" t="s">
        <v>316</v>
      </c>
    </row>
    <row r="843" spans="1:20" x14ac:dyDescent="0.25">
      <c r="A843">
        <v>42</v>
      </c>
      <c r="B843" t="str">
        <f>HYPERLINK("https://imapinvasives.natureserve.org/imap/services/page/Presence/1290699.html", "View")</f>
        <v>View</v>
      </c>
      <c r="C843">
        <v>1290699</v>
      </c>
      <c r="D843">
        <v>1300888</v>
      </c>
      <c r="E843" t="str">
        <f>HYPERLINK("http://imap3images.s3-website-us-east-1.amazonaws.com/1300888/p/Photo_1.jpg", "View")</f>
        <v>View</v>
      </c>
      <c r="F843" t="s">
        <v>233</v>
      </c>
      <c r="G843" t="s">
        <v>234</v>
      </c>
      <c r="H843">
        <v>61321</v>
      </c>
      <c r="I843" t="str">
        <f>HYPERLINK("https://www.inaturalist.org/taxa/64237-Phragmites-australis", "View")</f>
        <v>View</v>
      </c>
      <c r="J843" t="s">
        <v>258</v>
      </c>
      <c r="K843" t="s">
        <v>259</v>
      </c>
      <c r="L843">
        <v>64237</v>
      </c>
      <c r="M843">
        <v>85.75</v>
      </c>
      <c r="N843">
        <v>4.45</v>
      </c>
      <c r="P843">
        <v>0</v>
      </c>
      <c r="R843" t="s">
        <v>40</v>
      </c>
      <c r="S843" t="s">
        <v>39</v>
      </c>
      <c r="T843" t="s">
        <v>317</v>
      </c>
    </row>
    <row r="844" spans="1:20" x14ac:dyDescent="0.25">
      <c r="A844">
        <v>43</v>
      </c>
      <c r="B844" t="str">
        <f>HYPERLINK("https://imapinvasives.natureserve.org/imap/services/page/Presence/513972.html", "View")</f>
        <v>View</v>
      </c>
      <c r="C844">
        <v>513972</v>
      </c>
      <c r="D844">
        <v>513972</v>
      </c>
      <c r="E844" t="str">
        <f>HYPERLINK("http://imap3images.s3-website-us-east-1.amazonaws.com/513972/p/photourl1_2017_08_20_micrider_tw5x9bze.jpg", "View")</f>
        <v>View</v>
      </c>
      <c r="F844" t="s">
        <v>233</v>
      </c>
      <c r="G844" t="s">
        <v>234</v>
      </c>
      <c r="H844">
        <v>61321</v>
      </c>
      <c r="I844" t="str">
        <f t="shared" ref="I844:I856" si="37">HYPERLINK("https://www.inaturalist.org/taxa/61321-Lythrum-salicaria", "View")</f>
        <v>View</v>
      </c>
      <c r="J844" t="s">
        <v>233</v>
      </c>
      <c r="K844" t="s">
        <v>235</v>
      </c>
      <c r="L844">
        <v>61321</v>
      </c>
      <c r="M844">
        <v>36</v>
      </c>
      <c r="N844">
        <v>96.11</v>
      </c>
      <c r="P844">
        <v>1</v>
      </c>
      <c r="R844" t="s">
        <v>23</v>
      </c>
      <c r="S844" t="s">
        <v>24</v>
      </c>
      <c r="T844" t="s">
        <v>316</v>
      </c>
    </row>
    <row r="845" spans="1:20" x14ac:dyDescent="0.25">
      <c r="A845">
        <v>44</v>
      </c>
      <c r="B845" t="str">
        <f>HYPERLINK("https://imapinvasives.natureserve.org/imap/services/page/Presence/1157550.html", "View")</f>
        <v>View</v>
      </c>
      <c r="C845">
        <v>1157550</v>
      </c>
      <c r="D845">
        <v>1164596</v>
      </c>
      <c r="E845" t="str">
        <f>HYPERLINK("http://imap3images.s3-website-us-east-1.amazonaws.com/1164596/p/imap_app_photo_1628629936915.jpg", "View")</f>
        <v>View</v>
      </c>
      <c r="F845" t="s">
        <v>233</v>
      </c>
      <c r="G845" t="s">
        <v>234</v>
      </c>
      <c r="H845">
        <v>61321</v>
      </c>
      <c r="I845" t="str">
        <f t="shared" si="37"/>
        <v>View</v>
      </c>
      <c r="J845" t="s">
        <v>233</v>
      </c>
      <c r="K845" t="s">
        <v>235</v>
      </c>
      <c r="L845">
        <v>61321</v>
      </c>
      <c r="M845">
        <v>22.41</v>
      </c>
      <c r="N845">
        <v>99.51</v>
      </c>
      <c r="P845">
        <v>1</v>
      </c>
      <c r="R845" t="s">
        <v>23</v>
      </c>
      <c r="S845" t="s">
        <v>24</v>
      </c>
      <c r="T845" t="s">
        <v>316</v>
      </c>
    </row>
    <row r="846" spans="1:20" x14ac:dyDescent="0.25">
      <c r="A846">
        <v>45</v>
      </c>
      <c r="B846" t="str">
        <f>HYPERLINK("https://imapinvasives.natureserve.org/imap/services/page/Presence/1286063.html", "View")</f>
        <v>View</v>
      </c>
      <c r="C846">
        <v>1286063</v>
      </c>
      <c r="D846">
        <v>1295786</v>
      </c>
      <c r="E846" t="str">
        <f>HYPERLINK("http://imap3images.s3-website-us-east-1.amazonaws.com/1295786/p/imap_app_photo_1660226571140.jpg", "View")</f>
        <v>View</v>
      </c>
      <c r="F846" t="s">
        <v>233</v>
      </c>
      <c r="G846" t="s">
        <v>234</v>
      </c>
      <c r="H846">
        <v>61321</v>
      </c>
      <c r="I846" t="str">
        <f t="shared" si="37"/>
        <v>View</v>
      </c>
      <c r="J846" t="s">
        <v>233</v>
      </c>
      <c r="K846" t="s">
        <v>235</v>
      </c>
      <c r="L846">
        <v>61321</v>
      </c>
      <c r="M846">
        <v>23</v>
      </c>
      <c r="N846">
        <v>99.23</v>
      </c>
      <c r="P846">
        <v>1</v>
      </c>
      <c r="R846" t="s">
        <v>23</v>
      </c>
      <c r="S846" t="s">
        <v>24</v>
      </c>
      <c r="T846" t="s">
        <v>316</v>
      </c>
    </row>
    <row r="847" spans="1:20" x14ac:dyDescent="0.25">
      <c r="A847">
        <v>46</v>
      </c>
      <c r="B847" t="str">
        <f>HYPERLINK("https://imapinvasives.natureserve.org/imap/services/page/Presence/1286717.html", "View")</f>
        <v>View</v>
      </c>
      <c r="C847">
        <v>1286717</v>
      </c>
      <c r="D847">
        <v>1296481</v>
      </c>
      <c r="E847" t="str">
        <f>HYPERLINK("http://imap3images.s3-website-us-east-1.amazonaws.com/1296481/p/imap_app_photo_1660575111217.jpg", "View")</f>
        <v>View</v>
      </c>
      <c r="F847" t="s">
        <v>233</v>
      </c>
      <c r="G847" t="s">
        <v>234</v>
      </c>
      <c r="H847">
        <v>61321</v>
      </c>
      <c r="I847" t="str">
        <f t="shared" si="37"/>
        <v>View</v>
      </c>
      <c r="J847" t="s">
        <v>233</v>
      </c>
      <c r="K847" t="s">
        <v>235</v>
      </c>
      <c r="L847">
        <v>61321</v>
      </c>
      <c r="M847">
        <v>53.37</v>
      </c>
      <c r="N847">
        <v>91.79</v>
      </c>
      <c r="P847">
        <v>1</v>
      </c>
      <c r="R847" t="s">
        <v>23</v>
      </c>
      <c r="S847" t="s">
        <v>24</v>
      </c>
      <c r="T847" t="s">
        <v>316</v>
      </c>
    </row>
    <row r="848" spans="1:20" x14ac:dyDescent="0.25">
      <c r="A848">
        <v>47</v>
      </c>
      <c r="B848" t="str">
        <f>HYPERLINK("https://imapinvasives.natureserve.org/imap/services/page/Presence/1030448.html", "View")</f>
        <v>View</v>
      </c>
      <c r="C848">
        <v>1030448</v>
      </c>
      <c r="D848">
        <v>1031867</v>
      </c>
      <c r="E848" t="str">
        <f>HYPERLINK("http://imap3images.s3-website-us-east-1.amazonaws.com/1031867/p/imap_app_photo_1567213525039.jpg", "View")</f>
        <v>View</v>
      </c>
      <c r="F848" t="s">
        <v>233</v>
      </c>
      <c r="G848" t="s">
        <v>234</v>
      </c>
      <c r="H848">
        <v>61321</v>
      </c>
      <c r="I848" t="str">
        <f t="shared" si="37"/>
        <v>View</v>
      </c>
      <c r="J848" t="s">
        <v>233</v>
      </c>
      <c r="K848" t="s">
        <v>235</v>
      </c>
      <c r="L848">
        <v>61321</v>
      </c>
      <c r="M848">
        <v>16.13</v>
      </c>
      <c r="N848">
        <v>95.55</v>
      </c>
      <c r="P848">
        <v>1</v>
      </c>
      <c r="R848" t="s">
        <v>23</v>
      </c>
      <c r="S848" t="s">
        <v>24</v>
      </c>
      <c r="T848" t="s">
        <v>316</v>
      </c>
    </row>
    <row r="849" spans="1:20" x14ac:dyDescent="0.25">
      <c r="A849">
        <v>48</v>
      </c>
      <c r="B849" t="str">
        <f>HYPERLINK("https://imapinvasives.natureserve.org/imap/services/page/Presence/530824.html", "View")</f>
        <v>View</v>
      </c>
      <c r="C849">
        <v>530824</v>
      </c>
      <c r="D849">
        <v>530824</v>
      </c>
      <c r="E849" t="str">
        <f>HYPERLINK("http://imap3images.s3-website-us-east-1.amazonaws.com/530824/p/photourl1_2018_09_07_catpedler_g5zzhi4m.jpg", "View")</f>
        <v>View</v>
      </c>
      <c r="F849" t="s">
        <v>233</v>
      </c>
      <c r="G849" t="s">
        <v>234</v>
      </c>
      <c r="H849">
        <v>61321</v>
      </c>
      <c r="I849" t="str">
        <f t="shared" si="37"/>
        <v>View</v>
      </c>
      <c r="J849" t="s">
        <v>233</v>
      </c>
      <c r="K849" t="s">
        <v>235</v>
      </c>
      <c r="L849">
        <v>61321</v>
      </c>
      <c r="M849">
        <v>32.880000000000003</v>
      </c>
      <c r="N849">
        <v>98.75</v>
      </c>
      <c r="P849">
        <v>1</v>
      </c>
      <c r="R849" t="s">
        <v>23</v>
      </c>
      <c r="S849" t="s">
        <v>24</v>
      </c>
      <c r="T849" t="s">
        <v>316</v>
      </c>
    </row>
    <row r="850" spans="1:20" x14ac:dyDescent="0.25">
      <c r="A850">
        <v>49</v>
      </c>
      <c r="B850" t="str">
        <f>HYPERLINK("https://imapinvasives.natureserve.org/imap/services/page/Presence/1355133.html", "View")</f>
        <v>View</v>
      </c>
      <c r="C850">
        <v>1355133</v>
      </c>
      <c r="D850">
        <v>1372765</v>
      </c>
      <c r="E850" t="str">
        <f>HYPERLINK("http://imap3images.s3-website-us-east-1.amazonaws.com/1372765/p/30BC4035-E90F-43E3-B8AB-1DF95F431B23.jpeg", "View")</f>
        <v>View</v>
      </c>
      <c r="F850" t="s">
        <v>233</v>
      </c>
      <c r="G850" t="s">
        <v>234</v>
      </c>
      <c r="H850">
        <v>61321</v>
      </c>
      <c r="I850" t="str">
        <f t="shared" si="37"/>
        <v>View</v>
      </c>
      <c r="J850" t="s">
        <v>233</v>
      </c>
      <c r="K850" t="s">
        <v>235</v>
      </c>
      <c r="L850">
        <v>61321</v>
      </c>
      <c r="M850">
        <v>51.29</v>
      </c>
      <c r="N850">
        <v>55.8</v>
      </c>
      <c r="P850">
        <v>1</v>
      </c>
      <c r="R850" t="s">
        <v>23</v>
      </c>
      <c r="S850" t="s">
        <v>24</v>
      </c>
      <c r="T850" t="s">
        <v>316</v>
      </c>
    </row>
    <row r="851" spans="1:20" x14ac:dyDescent="0.25">
      <c r="A851">
        <v>50</v>
      </c>
      <c r="B851" t="str">
        <f>HYPERLINK("https://imapinvasives.natureserve.org/imap/services/page/Presence/1056952.html", "View")</f>
        <v>View</v>
      </c>
      <c r="C851">
        <v>1056952</v>
      </c>
      <c r="D851">
        <v>1061454</v>
      </c>
      <c r="E851" t="str">
        <f>HYPERLINK("http://imap3images.s3-website-us-east-1.amazonaws.com/1061454/p/imap_app_photo_1595180157884.jpg", "View")</f>
        <v>View</v>
      </c>
      <c r="F851" t="s">
        <v>233</v>
      </c>
      <c r="G851" t="s">
        <v>234</v>
      </c>
      <c r="H851">
        <v>61321</v>
      </c>
      <c r="I851" t="str">
        <f t="shared" si="37"/>
        <v>View</v>
      </c>
      <c r="J851" t="s">
        <v>233</v>
      </c>
      <c r="K851" t="s">
        <v>235</v>
      </c>
      <c r="L851">
        <v>61321</v>
      </c>
      <c r="M851">
        <v>76.5</v>
      </c>
      <c r="N851">
        <v>99.31</v>
      </c>
      <c r="P851">
        <v>1</v>
      </c>
      <c r="R851" t="s">
        <v>23</v>
      </c>
      <c r="S851" t="s">
        <v>24</v>
      </c>
      <c r="T851" t="s">
        <v>316</v>
      </c>
    </row>
    <row r="852" spans="1:20" x14ac:dyDescent="0.25">
      <c r="A852">
        <v>51</v>
      </c>
      <c r="B852" t="str">
        <f>HYPERLINK("https://imapinvasives.natureserve.org/imap/services/page/Presence/494162.html", "View")</f>
        <v>View</v>
      </c>
      <c r="C852">
        <v>494162</v>
      </c>
      <c r="D852">
        <v>494162</v>
      </c>
      <c r="E852" t="str">
        <f>HYPERLINK("http://imap3images.s3-website-us-east-1.amazonaws.com/494162/p/photourl2_2016_08_05_iansansone_jtjln3bw.jpg", "View")</f>
        <v>View</v>
      </c>
      <c r="F852" t="s">
        <v>233</v>
      </c>
      <c r="G852" t="s">
        <v>234</v>
      </c>
      <c r="H852">
        <v>61321</v>
      </c>
      <c r="I852" t="str">
        <f t="shared" si="37"/>
        <v>View</v>
      </c>
      <c r="J852" t="s">
        <v>233</v>
      </c>
      <c r="K852" t="s">
        <v>235</v>
      </c>
      <c r="L852">
        <v>61321</v>
      </c>
      <c r="M852">
        <v>34.869999999999997</v>
      </c>
      <c r="N852">
        <v>96.09</v>
      </c>
      <c r="P852">
        <v>1</v>
      </c>
      <c r="R852" t="s">
        <v>23</v>
      </c>
      <c r="S852" t="s">
        <v>24</v>
      </c>
      <c r="T852" t="s">
        <v>316</v>
      </c>
    </row>
    <row r="853" spans="1:20" x14ac:dyDescent="0.25">
      <c r="A853">
        <v>52</v>
      </c>
      <c r="B853" t="str">
        <f>HYPERLINK("https://imapinvasives.natureserve.org/imap/services/page/Presence/1286641.html", "View")</f>
        <v>View</v>
      </c>
      <c r="C853">
        <v>1286641</v>
      </c>
      <c r="D853">
        <v>1296404</v>
      </c>
      <c r="E853" t="str">
        <f>HYPERLINK("http://imap3images.s3-website-us-east-1.amazonaws.com/1296404/p/imap_app_photo_1660340737067.jpg", "View")</f>
        <v>View</v>
      </c>
      <c r="F853" t="s">
        <v>233</v>
      </c>
      <c r="G853" t="s">
        <v>234</v>
      </c>
      <c r="H853">
        <v>61321</v>
      </c>
      <c r="I853" t="str">
        <f t="shared" si="37"/>
        <v>View</v>
      </c>
      <c r="J853" t="s">
        <v>233</v>
      </c>
      <c r="K853" t="s">
        <v>235</v>
      </c>
      <c r="L853">
        <v>61321</v>
      </c>
      <c r="M853">
        <v>38.06</v>
      </c>
      <c r="N853">
        <v>87.62</v>
      </c>
      <c r="P853">
        <v>1</v>
      </c>
      <c r="R853" t="s">
        <v>23</v>
      </c>
      <c r="S853" t="s">
        <v>24</v>
      </c>
      <c r="T853" t="s">
        <v>316</v>
      </c>
    </row>
    <row r="854" spans="1:20" x14ac:dyDescent="0.25">
      <c r="A854">
        <v>53</v>
      </c>
      <c r="B854" t="str">
        <f>HYPERLINK("https://imapinvasives.natureserve.org/imap/services/page/Presence/514106.html", "View")</f>
        <v>View</v>
      </c>
      <c r="C854">
        <v>514106</v>
      </c>
      <c r="D854">
        <v>514106</v>
      </c>
      <c r="E854" t="str">
        <f>HYPERLINK("http://imap3images.s3-website-us-east-1.amazonaws.com/514106/p/photourl2_2017_08_22_heazimba_nwoeenb1.jpg", "View")</f>
        <v>View</v>
      </c>
      <c r="F854" t="s">
        <v>233</v>
      </c>
      <c r="G854" t="s">
        <v>234</v>
      </c>
      <c r="H854">
        <v>61321</v>
      </c>
      <c r="I854" t="str">
        <f t="shared" si="37"/>
        <v>View</v>
      </c>
      <c r="J854" t="s">
        <v>233</v>
      </c>
      <c r="K854" t="s">
        <v>235</v>
      </c>
      <c r="L854">
        <v>61321</v>
      </c>
      <c r="M854">
        <v>26.85</v>
      </c>
      <c r="N854">
        <v>99.79</v>
      </c>
      <c r="P854">
        <v>1</v>
      </c>
      <c r="R854" t="s">
        <v>23</v>
      </c>
      <c r="S854" t="s">
        <v>24</v>
      </c>
      <c r="T854" t="s">
        <v>316</v>
      </c>
    </row>
    <row r="855" spans="1:20" x14ac:dyDescent="0.25">
      <c r="A855">
        <v>54</v>
      </c>
      <c r="B855" t="str">
        <f>HYPERLINK("https://imapinvasives.natureserve.org/imap/services/page/Presence/1061098.html", "View")</f>
        <v>View</v>
      </c>
      <c r="C855">
        <v>1061098</v>
      </c>
      <c r="D855">
        <v>1065630</v>
      </c>
      <c r="E855" t="str">
        <f>HYPERLINK("http://imap3images.s3-website-us-east-1.amazonaws.com/1065630/p/imap_app_photo_1596212789103.jpg", "View")</f>
        <v>View</v>
      </c>
      <c r="F855" t="s">
        <v>233</v>
      </c>
      <c r="G855" t="s">
        <v>234</v>
      </c>
      <c r="H855">
        <v>61321</v>
      </c>
      <c r="I855" t="str">
        <f t="shared" si="37"/>
        <v>View</v>
      </c>
      <c r="J855" t="s">
        <v>233</v>
      </c>
      <c r="K855" t="s">
        <v>235</v>
      </c>
      <c r="L855">
        <v>61321</v>
      </c>
      <c r="M855">
        <v>53.96</v>
      </c>
      <c r="N855">
        <v>99.98</v>
      </c>
      <c r="P855">
        <v>1</v>
      </c>
      <c r="R855" t="s">
        <v>23</v>
      </c>
      <c r="S855" t="s">
        <v>24</v>
      </c>
      <c r="T855" t="s">
        <v>316</v>
      </c>
    </row>
    <row r="856" spans="1:20" x14ac:dyDescent="0.25">
      <c r="A856">
        <v>55</v>
      </c>
      <c r="B856" t="str">
        <f>HYPERLINK("https://imapinvasives.natureserve.org/imap/services/page/Presence/1285960.html", "View")</f>
        <v>View</v>
      </c>
      <c r="C856">
        <v>1285960</v>
      </c>
      <c r="D856">
        <v>1295683</v>
      </c>
      <c r="E856" t="str">
        <f>HYPERLINK("http://imap3images.s3-website-us-east-1.amazonaws.com/1295683/p/IMG_20220810_125804.jpg", "View")</f>
        <v>View</v>
      </c>
      <c r="F856" t="s">
        <v>233</v>
      </c>
      <c r="G856" t="s">
        <v>234</v>
      </c>
      <c r="H856">
        <v>61321</v>
      </c>
      <c r="I856" t="str">
        <f t="shared" si="37"/>
        <v>View</v>
      </c>
      <c r="J856" t="s">
        <v>233</v>
      </c>
      <c r="K856" t="s">
        <v>235</v>
      </c>
      <c r="L856">
        <v>61321</v>
      </c>
      <c r="M856">
        <v>49.72</v>
      </c>
      <c r="N856">
        <v>98.47</v>
      </c>
      <c r="P856">
        <v>1</v>
      </c>
      <c r="R856" t="s">
        <v>23</v>
      </c>
      <c r="S856" t="s">
        <v>24</v>
      </c>
      <c r="T856" t="s">
        <v>316</v>
      </c>
    </row>
    <row r="857" spans="1:20" x14ac:dyDescent="0.25">
      <c r="A857">
        <v>56</v>
      </c>
      <c r="B857" t="str">
        <f>HYPERLINK("https://imapinvasives.natureserve.org/imap/services/page/Presence/1153511.html", "View")</f>
        <v>View</v>
      </c>
      <c r="C857">
        <v>1153511</v>
      </c>
      <c r="D857">
        <v>1160490</v>
      </c>
      <c r="E857" t="str">
        <f>HYPERLINK("http://imap3images.s3-website-us-east-1.amazonaws.com/1160490/p/imap_app_photo_1627843807769.jpg", "View")</f>
        <v>View</v>
      </c>
      <c r="F857" t="s">
        <v>233</v>
      </c>
      <c r="G857" t="s">
        <v>234</v>
      </c>
      <c r="H857">
        <v>61321</v>
      </c>
      <c r="I857" t="str">
        <f>HYPERLINK("https://www.inaturalist.org/taxa/52856-Artemisia-vulgaris", "View")</f>
        <v>View</v>
      </c>
      <c r="J857" t="s">
        <v>260</v>
      </c>
      <c r="K857" t="s">
        <v>261</v>
      </c>
      <c r="L857">
        <v>52856</v>
      </c>
      <c r="M857">
        <v>22.94</v>
      </c>
      <c r="N857">
        <v>16.440000000000001</v>
      </c>
      <c r="P857">
        <v>0</v>
      </c>
      <c r="R857" t="s">
        <v>29</v>
      </c>
      <c r="S857" t="s">
        <v>39</v>
      </c>
      <c r="T857" t="s">
        <v>317</v>
      </c>
    </row>
    <row r="858" spans="1:20" x14ac:dyDescent="0.25">
      <c r="A858">
        <v>57</v>
      </c>
      <c r="B858" t="str">
        <f>HYPERLINK("https://imapinvasives.natureserve.org/imap/services/page/Presence/529328.html", "View")</f>
        <v>View</v>
      </c>
      <c r="C858">
        <v>529328</v>
      </c>
      <c r="D858">
        <v>529328</v>
      </c>
      <c r="E858" t="str">
        <f>HYPERLINK("http://imap3images.s3-website-us-east-1.amazonaws.com/529328/p/photourl1_2018_07_27_scorichardson_gnxbsuns.jpg", "View")</f>
        <v>View</v>
      </c>
      <c r="F858" t="s">
        <v>233</v>
      </c>
      <c r="G858" t="s">
        <v>234</v>
      </c>
      <c r="H858">
        <v>61321</v>
      </c>
      <c r="I858" t="str">
        <f>HYPERLINK("https://www.inaturalist.org/taxa/61321-Lythrum-salicaria", "View")</f>
        <v>View</v>
      </c>
      <c r="J858" t="s">
        <v>233</v>
      </c>
      <c r="K858" t="s">
        <v>235</v>
      </c>
      <c r="L858">
        <v>61321</v>
      </c>
      <c r="M858">
        <v>46.38</v>
      </c>
      <c r="N858">
        <v>82.53</v>
      </c>
      <c r="P858">
        <v>1</v>
      </c>
      <c r="R858" t="s">
        <v>23</v>
      </c>
      <c r="S858" t="s">
        <v>24</v>
      </c>
      <c r="T858" t="s">
        <v>316</v>
      </c>
    </row>
    <row r="859" spans="1:20" x14ac:dyDescent="0.25">
      <c r="A859">
        <v>58</v>
      </c>
      <c r="B859" t="str">
        <f>HYPERLINK("https://imapinvasives.natureserve.org/imap/services/page/Presence/419260.html", "View")</f>
        <v>View</v>
      </c>
      <c r="C859">
        <v>419260</v>
      </c>
      <c r="D859">
        <v>419260</v>
      </c>
      <c r="E859" t="str">
        <f>HYPERLINK("http://imap3images.s3-website-us-east-1.amazonaws.com/419260/p/photourl2_2014_08_22_andstadler_8gkhpb4n.jpg", "View")</f>
        <v>View</v>
      </c>
      <c r="F859" t="s">
        <v>233</v>
      </c>
      <c r="G859" t="s">
        <v>234</v>
      </c>
      <c r="H859">
        <v>61321</v>
      </c>
      <c r="I859" t="str">
        <f>HYPERLINK("https://www.inaturalist.org/taxa/61321-Lythrum-salicaria", "View")</f>
        <v>View</v>
      </c>
      <c r="J859" t="s">
        <v>233</v>
      </c>
      <c r="K859" t="s">
        <v>235</v>
      </c>
      <c r="L859">
        <v>61321</v>
      </c>
      <c r="M859">
        <v>50.17</v>
      </c>
      <c r="N859">
        <v>93.93</v>
      </c>
      <c r="P859">
        <v>1</v>
      </c>
      <c r="R859" t="s">
        <v>23</v>
      </c>
      <c r="S859" t="s">
        <v>24</v>
      </c>
      <c r="T859" t="s">
        <v>316</v>
      </c>
    </row>
    <row r="860" spans="1:20" x14ac:dyDescent="0.25">
      <c r="A860">
        <v>59</v>
      </c>
      <c r="B860" t="str">
        <f>HYPERLINK("https://imapinvasives.natureserve.org/imap/services/page/Presence/1365198.html", "View")</f>
        <v>View</v>
      </c>
      <c r="C860">
        <v>1365198</v>
      </c>
      <c r="D860">
        <v>1383145</v>
      </c>
      <c r="E860" t="str">
        <f>HYPERLINK("http://imap3images.s3-website-us-east-1.amazonaws.com/1383145/p/rakeSpeciesImage-20230818-145845.jpg", "View")</f>
        <v>View</v>
      </c>
      <c r="F860" t="s">
        <v>233</v>
      </c>
      <c r="G860" t="s">
        <v>234</v>
      </c>
      <c r="H860">
        <v>61321</v>
      </c>
      <c r="I860" t="str">
        <f>HYPERLINK("https://www.inaturalist.org/taxa/61321-Lythrum-salicaria", "View")</f>
        <v>View</v>
      </c>
      <c r="J860" t="s">
        <v>233</v>
      </c>
      <c r="K860" t="s">
        <v>235</v>
      </c>
      <c r="L860">
        <v>61321</v>
      </c>
      <c r="M860">
        <v>75.77</v>
      </c>
      <c r="N860">
        <v>99.98</v>
      </c>
      <c r="P860">
        <v>1</v>
      </c>
      <c r="R860" t="s">
        <v>23</v>
      </c>
      <c r="S860" t="s">
        <v>24</v>
      </c>
      <c r="T860" t="s">
        <v>316</v>
      </c>
    </row>
    <row r="861" spans="1:20" x14ac:dyDescent="0.25">
      <c r="A861">
        <v>60</v>
      </c>
      <c r="B861" t="str">
        <f>HYPERLINK("https://imapinvasives.natureserve.org/imap/services/page/Presence/1068768.html", "View")</f>
        <v>View</v>
      </c>
      <c r="C861">
        <v>1068768</v>
      </c>
      <c r="D861">
        <v>1073602</v>
      </c>
      <c r="E861" t="str">
        <f>HYPERLINK("http://imap3images.s3-website-us-east-1.amazonaws.com/1073602/p/imap_app_photo_1599853494703.jpg", "View")</f>
        <v>View</v>
      </c>
      <c r="F861" t="s">
        <v>233</v>
      </c>
      <c r="G861" t="s">
        <v>234</v>
      </c>
      <c r="H861">
        <v>61321</v>
      </c>
      <c r="I861" t="str">
        <f>HYPERLINK("https://www.inaturalist.org/taxa/61321-Lythrum-salicaria", "View")</f>
        <v>View</v>
      </c>
      <c r="J861" t="s">
        <v>233</v>
      </c>
      <c r="K861" t="s">
        <v>235</v>
      </c>
      <c r="L861">
        <v>61321</v>
      </c>
      <c r="M861">
        <v>21.7</v>
      </c>
      <c r="N861">
        <v>94.99</v>
      </c>
      <c r="P861">
        <v>1</v>
      </c>
      <c r="R861" t="s">
        <v>23</v>
      </c>
      <c r="S861" t="s">
        <v>24</v>
      </c>
      <c r="T861" t="s">
        <v>316</v>
      </c>
    </row>
    <row r="862" spans="1:20" x14ac:dyDescent="0.25">
      <c r="A862">
        <v>61</v>
      </c>
      <c r="B862" t="str">
        <f>HYPERLINK("https://imapinvasives.natureserve.org/imap/services/page/Presence/525267.html", "View")</f>
        <v>View</v>
      </c>
      <c r="C862">
        <v>525267</v>
      </c>
      <c r="D862">
        <v>525267</v>
      </c>
      <c r="E862" t="str">
        <f>HYPERLINK("http://imap3images.s3-website-us-east-1.amazonaws.com/525267/p/photourl1_2018_04_24_spebarrett_tlvgwkf2.jpg", "View")</f>
        <v>View</v>
      </c>
      <c r="F862" t="s">
        <v>233</v>
      </c>
      <c r="G862" t="s">
        <v>234</v>
      </c>
      <c r="H862">
        <v>61321</v>
      </c>
      <c r="I862" t="str">
        <f>HYPERLINK("https://www.inaturalist.org/taxa/76132-Carrichtera-annua", "View")</f>
        <v>View</v>
      </c>
      <c r="J862" t="s">
        <v>262</v>
      </c>
      <c r="K862" t="s">
        <v>263</v>
      </c>
      <c r="L862">
        <v>76132</v>
      </c>
      <c r="M862">
        <v>0</v>
      </c>
      <c r="N862">
        <v>17.309999999999999</v>
      </c>
      <c r="P862">
        <v>0</v>
      </c>
      <c r="R862" t="s">
        <v>40</v>
      </c>
      <c r="S862" t="s">
        <v>64</v>
      </c>
      <c r="T862" t="s">
        <v>317</v>
      </c>
    </row>
    <row r="863" spans="1:20" x14ac:dyDescent="0.25">
      <c r="A863">
        <v>62</v>
      </c>
      <c r="B863" t="str">
        <f>HYPERLINK("https://imapinvasives.natureserve.org/imap/services/page/Presence/449776.html", "View")</f>
        <v>View</v>
      </c>
      <c r="C863">
        <v>449776</v>
      </c>
      <c r="D863">
        <v>449776</v>
      </c>
      <c r="E863" t="str">
        <f>HYPERLINK("http://imap3images.s3-website-us-east-1.amazonaws.com/449776/p/photourl4_2015_08_27_nicpionteck_1q1f5f1u.jpg", "View")</f>
        <v>View</v>
      </c>
      <c r="F863" t="s">
        <v>233</v>
      </c>
      <c r="G863" t="s">
        <v>234</v>
      </c>
      <c r="H863">
        <v>61321</v>
      </c>
      <c r="I863" t="str">
        <f t="shared" ref="I863:I872" si="38">HYPERLINK("https://www.inaturalist.org/taxa/61321-Lythrum-salicaria", "View")</f>
        <v>View</v>
      </c>
      <c r="J863" t="s">
        <v>233</v>
      </c>
      <c r="K863" t="s">
        <v>235</v>
      </c>
      <c r="L863">
        <v>61321</v>
      </c>
      <c r="M863">
        <v>18.579999999999998</v>
      </c>
      <c r="N863">
        <v>99.65</v>
      </c>
      <c r="P863">
        <v>1</v>
      </c>
      <c r="R863" t="s">
        <v>23</v>
      </c>
      <c r="S863" t="s">
        <v>24</v>
      </c>
      <c r="T863" t="s">
        <v>316</v>
      </c>
    </row>
    <row r="864" spans="1:20" x14ac:dyDescent="0.25">
      <c r="A864">
        <v>63</v>
      </c>
      <c r="B864" t="str">
        <f>HYPERLINK("https://imapinvasives.natureserve.org/imap/services/page/Presence/418481.html", "View")</f>
        <v>View</v>
      </c>
      <c r="C864">
        <v>418481</v>
      </c>
      <c r="D864">
        <v>418481</v>
      </c>
      <c r="E864" t="str">
        <f>HYPERLINK("http://imap3images.s3-website-us-east-1.amazonaws.com/418481/p/photourl2_2014_08_04_angklinczar_5pofc0fm.jpg", "View")</f>
        <v>View</v>
      </c>
      <c r="F864" t="s">
        <v>233</v>
      </c>
      <c r="G864" t="s">
        <v>234</v>
      </c>
      <c r="H864">
        <v>61321</v>
      </c>
      <c r="I864" t="str">
        <f t="shared" si="38"/>
        <v>View</v>
      </c>
      <c r="J864" t="s">
        <v>233</v>
      </c>
      <c r="K864" t="s">
        <v>235</v>
      </c>
      <c r="L864">
        <v>61321</v>
      </c>
      <c r="M864">
        <v>42.1</v>
      </c>
      <c r="N864">
        <v>61.09</v>
      </c>
      <c r="P864">
        <v>1</v>
      </c>
      <c r="R864" t="s">
        <v>23</v>
      </c>
      <c r="S864" t="s">
        <v>24</v>
      </c>
      <c r="T864" t="s">
        <v>316</v>
      </c>
    </row>
    <row r="865" spans="1:20" x14ac:dyDescent="0.25">
      <c r="A865">
        <v>64</v>
      </c>
      <c r="B865" t="str">
        <f>HYPERLINK("https://imapinvasives.natureserve.org/imap/services/page/Presence/1152403.html", "View")</f>
        <v>View</v>
      </c>
      <c r="C865">
        <v>1152403</v>
      </c>
      <c r="D865">
        <v>1159345</v>
      </c>
      <c r="E865" t="str">
        <f>HYPERLINK("http://imap3images.s3-website-us-east-1.amazonaws.com/1159345/p/imap_app_photo_1627072170993.jpg", "View")</f>
        <v>View</v>
      </c>
      <c r="F865" t="s">
        <v>233</v>
      </c>
      <c r="G865" t="s">
        <v>234</v>
      </c>
      <c r="H865">
        <v>61321</v>
      </c>
      <c r="I865" t="str">
        <f t="shared" si="38"/>
        <v>View</v>
      </c>
      <c r="J865" t="s">
        <v>233</v>
      </c>
      <c r="K865" t="s">
        <v>235</v>
      </c>
      <c r="L865">
        <v>61321</v>
      </c>
      <c r="M865">
        <v>76.09</v>
      </c>
      <c r="N865">
        <v>99.71</v>
      </c>
      <c r="P865">
        <v>1</v>
      </c>
      <c r="R865" t="s">
        <v>23</v>
      </c>
      <c r="S865" t="s">
        <v>24</v>
      </c>
      <c r="T865" t="s">
        <v>316</v>
      </c>
    </row>
    <row r="866" spans="1:20" x14ac:dyDescent="0.25">
      <c r="A866">
        <v>65</v>
      </c>
      <c r="B866" t="str">
        <f>HYPERLINK("https://imapinvasives.natureserve.org/imap/services/page/Presence/418605.html", "View")</f>
        <v>View</v>
      </c>
      <c r="C866">
        <v>418605</v>
      </c>
      <c r="D866">
        <v>418605</v>
      </c>
      <c r="E866" t="str">
        <f>HYPERLINK("http://imap3images.s3-website-us-east-1.amazonaws.com/418605/p/photourl2_2014_08_05_andstadler_pl9c6lcv.jpg", "View")</f>
        <v>View</v>
      </c>
      <c r="F866" t="s">
        <v>233</v>
      </c>
      <c r="G866" t="s">
        <v>234</v>
      </c>
      <c r="H866">
        <v>61321</v>
      </c>
      <c r="I866" t="str">
        <f t="shared" si="38"/>
        <v>View</v>
      </c>
      <c r="J866" t="s">
        <v>233</v>
      </c>
      <c r="K866" t="s">
        <v>235</v>
      </c>
      <c r="L866">
        <v>61321</v>
      </c>
      <c r="M866">
        <v>44.82</v>
      </c>
      <c r="N866">
        <v>99.38</v>
      </c>
      <c r="P866">
        <v>1</v>
      </c>
      <c r="R866" t="s">
        <v>23</v>
      </c>
      <c r="S866" t="s">
        <v>24</v>
      </c>
      <c r="T866" t="s">
        <v>316</v>
      </c>
    </row>
    <row r="867" spans="1:20" x14ac:dyDescent="0.25">
      <c r="A867">
        <v>66</v>
      </c>
      <c r="B867" t="str">
        <f>HYPERLINK("https://imapinvasives.natureserve.org/imap/services/page/Presence/513425.html", "View")</f>
        <v>View</v>
      </c>
      <c r="C867">
        <v>513425</v>
      </c>
      <c r="D867">
        <v>513425</v>
      </c>
      <c r="E867" t="str">
        <f>HYPERLINK("http://imap3images.s3-website-us-east-1.amazonaws.com/513425/p/photourl1_2017_07_30_nevdunn_5zcuradf.jpg", "View")</f>
        <v>View</v>
      </c>
      <c r="F867" t="s">
        <v>233</v>
      </c>
      <c r="G867" t="s">
        <v>234</v>
      </c>
      <c r="H867">
        <v>61321</v>
      </c>
      <c r="I867" t="str">
        <f t="shared" si="38"/>
        <v>View</v>
      </c>
      <c r="J867" t="s">
        <v>233</v>
      </c>
      <c r="K867" t="s">
        <v>235</v>
      </c>
      <c r="L867">
        <v>61321</v>
      </c>
      <c r="M867">
        <v>17.89</v>
      </c>
      <c r="N867">
        <v>97.78</v>
      </c>
      <c r="P867">
        <v>1</v>
      </c>
      <c r="R867" t="s">
        <v>23</v>
      </c>
      <c r="S867" t="s">
        <v>24</v>
      </c>
      <c r="T867" t="s">
        <v>316</v>
      </c>
    </row>
    <row r="868" spans="1:20" x14ac:dyDescent="0.25">
      <c r="A868">
        <v>67</v>
      </c>
      <c r="B868" t="str">
        <f>HYPERLINK("https://imapinvasives.natureserve.org/imap/services/page/Presence/528501.html", "View")</f>
        <v>View</v>
      </c>
      <c r="C868">
        <v>528501</v>
      </c>
      <c r="D868">
        <v>528501</v>
      </c>
      <c r="E868" t="str">
        <f>HYPERLINK("http://imap3images.s3-website-us-east-1.amazonaws.com/528501/p/photourl1_2018_07_13_kriwilliams_8agddgts.jpg", "View")</f>
        <v>View</v>
      </c>
      <c r="F868" t="s">
        <v>233</v>
      </c>
      <c r="G868" t="s">
        <v>234</v>
      </c>
      <c r="H868">
        <v>61321</v>
      </c>
      <c r="I868" t="str">
        <f t="shared" si="38"/>
        <v>View</v>
      </c>
      <c r="J868" t="s">
        <v>233</v>
      </c>
      <c r="K868" t="s">
        <v>235</v>
      </c>
      <c r="L868">
        <v>61321</v>
      </c>
      <c r="M868">
        <v>64.349999999999994</v>
      </c>
      <c r="N868">
        <v>99.48</v>
      </c>
      <c r="P868">
        <v>1</v>
      </c>
      <c r="R868" t="s">
        <v>23</v>
      </c>
      <c r="S868" t="s">
        <v>24</v>
      </c>
      <c r="T868" t="s">
        <v>316</v>
      </c>
    </row>
    <row r="869" spans="1:20" x14ac:dyDescent="0.25">
      <c r="A869">
        <v>68</v>
      </c>
      <c r="B869" t="str">
        <f>HYPERLINK("https://imapinvasives.natureserve.org/imap/services/page/Presence/1290791.html", "View")</f>
        <v>View</v>
      </c>
      <c r="C869">
        <v>1290791</v>
      </c>
      <c r="D869">
        <v>1300982</v>
      </c>
      <c r="E869" t="str">
        <f>HYPERLINK("http://imap3images.s3-website-us-east-1.amazonaws.com/1300982/p/IMG_0046.JPG", "View")</f>
        <v>View</v>
      </c>
      <c r="F869" t="s">
        <v>233</v>
      </c>
      <c r="G869" t="s">
        <v>234</v>
      </c>
      <c r="H869">
        <v>61321</v>
      </c>
      <c r="I869" t="str">
        <f t="shared" si="38"/>
        <v>View</v>
      </c>
      <c r="J869" t="s">
        <v>233</v>
      </c>
      <c r="K869" t="s">
        <v>235</v>
      </c>
      <c r="L869">
        <v>61321</v>
      </c>
      <c r="M869">
        <v>64.349999999999994</v>
      </c>
      <c r="N869">
        <v>98.53</v>
      </c>
      <c r="P869">
        <v>1</v>
      </c>
      <c r="R869" t="s">
        <v>23</v>
      </c>
      <c r="S869" t="s">
        <v>24</v>
      </c>
      <c r="T869" t="s">
        <v>316</v>
      </c>
    </row>
    <row r="870" spans="1:20" x14ac:dyDescent="0.25">
      <c r="A870">
        <v>69</v>
      </c>
      <c r="B870" t="str">
        <f>HYPERLINK("https://imapinvasives.natureserve.org/imap/services/page/Presence/1338084.html", "View")</f>
        <v>View</v>
      </c>
      <c r="C870">
        <v>1338084</v>
      </c>
      <c r="D870">
        <v>1352748</v>
      </c>
      <c r="E870" t="str">
        <f>HYPERLINK("http://imap3images.s3-website-us-east-1.amazonaws.com/1352748/p/imap_app_photo_1688248447265.jpg", "View")</f>
        <v>View</v>
      </c>
      <c r="F870" t="s">
        <v>233</v>
      </c>
      <c r="G870" t="s">
        <v>234</v>
      </c>
      <c r="H870">
        <v>61321</v>
      </c>
      <c r="I870" t="str">
        <f t="shared" si="38"/>
        <v>View</v>
      </c>
      <c r="J870" t="s">
        <v>233</v>
      </c>
      <c r="K870" t="s">
        <v>235</v>
      </c>
      <c r="L870">
        <v>61321</v>
      </c>
      <c r="M870">
        <v>76.09</v>
      </c>
      <c r="N870">
        <v>93.55</v>
      </c>
      <c r="P870">
        <v>1</v>
      </c>
      <c r="R870" t="s">
        <v>23</v>
      </c>
      <c r="S870" t="s">
        <v>24</v>
      </c>
      <c r="T870" t="s">
        <v>316</v>
      </c>
    </row>
    <row r="871" spans="1:20" x14ac:dyDescent="0.25">
      <c r="A871">
        <v>70</v>
      </c>
      <c r="B871" t="str">
        <f>HYPERLINK("https://imapinvasives.natureserve.org/imap/services/page/Presence/1026066.html", "View")</f>
        <v>View</v>
      </c>
      <c r="C871">
        <v>1026066</v>
      </c>
      <c r="D871">
        <v>1027024</v>
      </c>
      <c r="E871" t="str">
        <f>HYPERLINK("http://imap3images.s3-website-us-east-1.amazonaws.com/1027024/p/imap_app_photo_1565723971605.jpg", "View")</f>
        <v>View</v>
      </c>
      <c r="F871" t="s">
        <v>233</v>
      </c>
      <c r="G871" t="s">
        <v>234</v>
      </c>
      <c r="H871">
        <v>61321</v>
      </c>
      <c r="I871" t="str">
        <f t="shared" si="38"/>
        <v>View</v>
      </c>
      <c r="J871" t="s">
        <v>233</v>
      </c>
      <c r="K871" t="s">
        <v>235</v>
      </c>
      <c r="L871">
        <v>61321</v>
      </c>
      <c r="M871">
        <v>24.59</v>
      </c>
      <c r="N871">
        <v>99.97</v>
      </c>
      <c r="P871">
        <v>1</v>
      </c>
      <c r="R871" t="s">
        <v>23</v>
      </c>
      <c r="S871" t="s">
        <v>24</v>
      </c>
      <c r="T871" t="s">
        <v>316</v>
      </c>
    </row>
    <row r="872" spans="1:20" x14ac:dyDescent="0.25">
      <c r="A872">
        <v>71</v>
      </c>
      <c r="B872" t="str">
        <f>HYPERLINK("https://imapinvasives.natureserve.org/imap/services/page/Presence/1289164.html", "View")</f>
        <v>View</v>
      </c>
      <c r="C872">
        <v>1289164</v>
      </c>
      <c r="D872">
        <v>1299259</v>
      </c>
      <c r="E872" t="str">
        <f>HYPERLINK("http://imap3images.s3-website-us-east-1.amazonaws.com/1299259/p/imap_app_photo_1661443695041.jpg", "View")</f>
        <v>View</v>
      </c>
      <c r="F872" t="s">
        <v>233</v>
      </c>
      <c r="G872" t="s">
        <v>234</v>
      </c>
      <c r="H872">
        <v>61321</v>
      </c>
      <c r="I872" t="str">
        <f t="shared" si="38"/>
        <v>View</v>
      </c>
      <c r="J872" t="s">
        <v>233</v>
      </c>
      <c r="K872" t="s">
        <v>235</v>
      </c>
      <c r="L872">
        <v>61321</v>
      </c>
      <c r="M872">
        <v>39.86</v>
      </c>
      <c r="N872">
        <v>96.7</v>
      </c>
      <c r="P872">
        <v>1</v>
      </c>
      <c r="R872" t="s">
        <v>23</v>
      </c>
      <c r="S872" t="s">
        <v>24</v>
      </c>
      <c r="T872" t="s">
        <v>316</v>
      </c>
    </row>
    <row r="873" spans="1:20" x14ac:dyDescent="0.25">
      <c r="A873">
        <v>72</v>
      </c>
      <c r="B873" t="str">
        <f>HYPERLINK("https://imapinvasives.natureserve.org/imap/services/page/Presence/1290085.html", "View")</f>
        <v>View</v>
      </c>
      <c r="C873">
        <v>1290085</v>
      </c>
      <c r="D873">
        <v>1300268</v>
      </c>
      <c r="E873" t="str">
        <f>HYPERLINK("http://imap3images.s3-website-us-east-1.amazonaws.com/1300268/p/imap_app_photo_1661722584548.jpg", "View")</f>
        <v>View</v>
      </c>
      <c r="F873" t="s">
        <v>233</v>
      </c>
      <c r="G873" t="s">
        <v>234</v>
      </c>
      <c r="H873">
        <v>61321</v>
      </c>
      <c r="I873" t="str">
        <f>HYPERLINK("https://www.inaturalist.org/taxa/60316-Typha-angustifolia", "View")</f>
        <v>View</v>
      </c>
      <c r="J873" t="s">
        <v>248</v>
      </c>
      <c r="K873" t="s">
        <v>249</v>
      </c>
      <c r="L873">
        <v>60316</v>
      </c>
      <c r="M873">
        <v>2.64</v>
      </c>
      <c r="N873">
        <v>31.35</v>
      </c>
      <c r="P873">
        <v>0</v>
      </c>
      <c r="R873" t="s">
        <v>29</v>
      </c>
      <c r="S873" t="s">
        <v>28</v>
      </c>
      <c r="T873" t="s">
        <v>317</v>
      </c>
    </row>
    <row r="874" spans="1:20" x14ac:dyDescent="0.25">
      <c r="A874">
        <v>73</v>
      </c>
      <c r="B874" t="str">
        <f>HYPERLINK("https://imapinvasives.natureserve.org/imap/services/page/Presence/1354367.html", "View")</f>
        <v>View</v>
      </c>
      <c r="C874">
        <v>1354367</v>
      </c>
      <c r="D874">
        <v>1371813</v>
      </c>
      <c r="E874" t="str">
        <f>HYPERLINK("http://imap3images.s3-website-us-east-1.amazonaws.com/1371813/p/imap_app_photo_1695244333374.jpg", "View")</f>
        <v>View</v>
      </c>
      <c r="F874" t="s">
        <v>233</v>
      </c>
      <c r="G874" t="s">
        <v>234</v>
      </c>
      <c r="H874">
        <v>61321</v>
      </c>
      <c r="I874" t="str">
        <f t="shared" ref="I874:I888" si="39">HYPERLINK("https://www.inaturalist.org/taxa/61321-Lythrum-salicaria", "View")</f>
        <v>View</v>
      </c>
      <c r="J874" t="s">
        <v>233</v>
      </c>
      <c r="K874" t="s">
        <v>235</v>
      </c>
      <c r="L874">
        <v>61321</v>
      </c>
      <c r="M874">
        <v>32.47</v>
      </c>
      <c r="N874">
        <v>41.9</v>
      </c>
      <c r="P874">
        <v>1</v>
      </c>
      <c r="R874" t="s">
        <v>23</v>
      </c>
      <c r="S874" t="s">
        <v>79</v>
      </c>
      <c r="T874" t="s">
        <v>317</v>
      </c>
    </row>
    <row r="875" spans="1:20" x14ac:dyDescent="0.25">
      <c r="A875">
        <v>74</v>
      </c>
      <c r="B875" t="str">
        <f>HYPERLINK("https://imapinvasives.natureserve.org/imap/services/page/Presence/1068385.html", "View")</f>
        <v>View</v>
      </c>
      <c r="C875">
        <v>1068385</v>
      </c>
      <c r="D875">
        <v>1073212</v>
      </c>
      <c r="E875" t="str">
        <f>HYPERLINK("http://imap3images.s3-website-us-east-1.amazonaws.com/1073212/p/imap_app_photo_1599519766559.jpg", "View")</f>
        <v>View</v>
      </c>
      <c r="F875" t="s">
        <v>233</v>
      </c>
      <c r="G875" t="s">
        <v>234</v>
      </c>
      <c r="H875">
        <v>61321</v>
      </c>
      <c r="I875" t="str">
        <f t="shared" si="39"/>
        <v>View</v>
      </c>
      <c r="J875" t="s">
        <v>233</v>
      </c>
      <c r="K875" t="s">
        <v>235</v>
      </c>
      <c r="L875">
        <v>61321</v>
      </c>
      <c r="M875">
        <v>64.349999999999994</v>
      </c>
      <c r="N875">
        <v>95.87</v>
      </c>
      <c r="P875">
        <v>1</v>
      </c>
      <c r="R875" t="s">
        <v>23</v>
      </c>
      <c r="S875" t="s">
        <v>24</v>
      </c>
      <c r="T875" t="s">
        <v>316</v>
      </c>
    </row>
    <row r="876" spans="1:20" x14ac:dyDescent="0.25">
      <c r="A876">
        <v>75</v>
      </c>
      <c r="B876" t="str">
        <f>HYPERLINK("https://imapinvasives.natureserve.org/imap/services/page/Presence/510300.html", "View")</f>
        <v>View</v>
      </c>
      <c r="C876">
        <v>510300</v>
      </c>
      <c r="D876">
        <v>510300</v>
      </c>
      <c r="E876" t="str">
        <f>HYPERLINK("http://imap3images.s3-website-us-east-1.amazonaws.com/510300/p/photourl1_2017_02_21_casbradshaw_gr4giy53.jpg", "View")</f>
        <v>View</v>
      </c>
      <c r="F876" t="s">
        <v>233</v>
      </c>
      <c r="G876" t="s">
        <v>234</v>
      </c>
      <c r="H876">
        <v>61321</v>
      </c>
      <c r="I876" t="str">
        <f t="shared" si="39"/>
        <v>View</v>
      </c>
      <c r="J876" t="s">
        <v>233</v>
      </c>
      <c r="K876" t="s">
        <v>235</v>
      </c>
      <c r="L876">
        <v>61321</v>
      </c>
      <c r="M876">
        <v>64.349999999999994</v>
      </c>
      <c r="N876">
        <v>99.08</v>
      </c>
      <c r="P876">
        <v>1</v>
      </c>
      <c r="R876" t="s">
        <v>23</v>
      </c>
      <c r="S876" t="s">
        <v>24</v>
      </c>
      <c r="T876" t="s">
        <v>316</v>
      </c>
    </row>
    <row r="877" spans="1:20" x14ac:dyDescent="0.25">
      <c r="A877">
        <v>76</v>
      </c>
      <c r="B877" t="str">
        <f>HYPERLINK("https://imapinvasives.natureserve.org/imap/services/page/Presence/1026350.html", "View")</f>
        <v>View</v>
      </c>
      <c r="C877">
        <v>1026350</v>
      </c>
      <c r="D877">
        <v>1027308</v>
      </c>
      <c r="E877" t="str">
        <f>HYPERLINK("http://imap3images.s3-website-us-east-1.amazonaws.com/1027308/p/imap_app_photo_1566074098267.jpg", "View")</f>
        <v>View</v>
      </c>
      <c r="F877" t="s">
        <v>233</v>
      </c>
      <c r="G877" t="s">
        <v>234</v>
      </c>
      <c r="H877">
        <v>61321</v>
      </c>
      <c r="I877" t="str">
        <f t="shared" si="39"/>
        <v>View</v>
      </c>
      <c r="J877" t="s">
        <v>233</v>
      </c>
      <c r="K877" t="s">
        <v>235</v>
      </c>
      <c r="L877">
        <v>61321</v>
      </c>
      <c r="M877">
        <v>32.47</v>
      </c>
      <c r="N877">
        <v>99.72</v>
      </c>
      <c r="P877">
        <v>1</v>
      </c>
      <c r="R877" t="s">
        <v>23</v>
      </c>
      <c r="S877" t="s">
        <v>24</v>
      </c>
      <c r="T877" t="s">
        <v>316</v>
      </c>
    </row>
    <row r="878" spans="1:20" x14ac:dyDescent="0.25">
      <c r="A878">
        <v>77</v>
      </c>
      <c r="B878" t="str">
        <f>HYPERLINK("https://imapinvasives.natureserve.org/imap/services/page/Presence/1164160.html", "View")</f>
        <v>View</v>
      </c>
      <c r="C878">
        <v>1164160</v>
      </c>
      <c r="D878">
        <v>1171391</v>
      </c>
      <c r="E878" t="str">
        <f>HYPERLINK("http://imap3images.s3-website-us-east-1.amazonaws.com/1171391/p/imap_app_photo_1632164045991.jpg", "View")</f>
        <v>View</v>
      </c>
      <c r="F878" t="s">
        <v>233</v>
      </c>
      <c r="G878" t="s">
        <v>234</v>
      </c>
      <c r="H878">
        <v>61321</v>
      </c>
      <c r="I878" t="str">
        <f t="shared" si="39"/>
        <v>View</v>
      </c>
      <c r="J878" t="s">
        <v>233</v>
      </c>
      <c r="K878" t="s">
        <v>235</v>
      </c>
      <c r="L878">
        <v>61321</v>
      </c>
      <c r="M878">
        <v>32.47</v>
      </c>
      <c r="N878">
        <v>16.04</v>
      </c>
      <c r="P878">
        <v>1</v>
      </c>
      <c r="R878" t="s">
        <v>23</v>
      </c>
      <c r="S878" t="s">
        <v>39</v>
      </c>
      <c r="T878" t="s">
        <v>317</v>
      </c>
    </row>
    <row r="879" spans="1:20" x14ac:dyDescent="0.25">
      <c r="A879">
        <v>78</v>
      </c>
      <c r="B879" t="str">
        <f>HYPERLINK("https://imapinvasives.natureserve.org/imap/services/page/Presence/1287047.html", "View")</f>
        <v>View</v>
      </c>
      <c r="C879">
        <v>1287047</v>
      </c>
      <c r="D879">
        <v>1296867</v>
      </c>
      <c r="E879" t="str">
        <f>HYPERLINK("http://imap3images.s3-website-us-east-1.amazonaws.com/1296867/p/imap_app_photo_1660599412264.jpg", "View")</f>
        <v>View</v>
      </c>
      <c r="F879" t="s">
        <v>233</v>
      </c>
      <c r="G879" t="s">
        <v>234</v>
      </c>
      <c r="H879">
        <v>61321</v>
      </c>
      <c r="I879" t="str">
        <f t="shared" si="39"/>
        <v>View</v>
      </c>
      <c r="J879" t="s">
        <v>233</v>
      </c>
      <c r="K879" t="s">
        <v>235</v>
      </c>
      <c r="L879">
        <v>61321</v>
      </c>
      <c r="M879">
        <v>21</v>
      </c>
      <c r="N879">
        <v>98.71</v>
      </c>
      <c r="P879">
        <v>1</v>
      </c>
      <c r="R879" t="s">
        <v>23</v>
      </c>
      <c r="S879" t="s">
        <v>24</v>
      </c>
      <c r="T879" t="s">
        <v>316</v>
      </c>
    </row>
    <row r="880" spans="1:20" x14ac:dyDescent="0.25">
      <c r="A880">
        <v>79</v>
      </c>
      <c r="B880" t="str">
        <f>HYPERLINK("https://imapinvasives.natureserve.org/imap/services/page/Presence/1297328.html", "View")</f>
        <v>View</v>
      </c>
      <c r="C880">
        <v>1297328</v>
      </c>
      <c r="D880">
        <v>1307563</v>
      </c>
      <c r="E880" t="str">
        <f>HYPERLINK("http://imap3images.s3-website-us-east-1.amazonaws.com/1307563/p/imap_app_photo_1664110458989.jpg", "View")</f>
        <v>View</v>
      </c>
      <c r="F880" t="s">
        <v>233</v>
      </c>
      <c r="G880" t="s">
        <v>234</v>
      </c>
      <c r="H880">
        <v>61321</v>
      </c>
      <c r="I880" t="str">
        <f t="shared" si="39"/>
        <v>View</v>
      </c>
      <c r="J880" t="s">
        <v>233</v>
      </c>
      <c r="K880" t="s">
        <v>235</v>
      </c>
      <c r="L880">
        <v>61321</v>
      </c>
      <c r="M880">
        <v>70.03</v>
      </c>
      <c r="N880">
        <v>99.75</v>
      </c>
      <c r="P880">
        <v>1</v>
      </c>
      <c r="R880" t="s">
        <v>23</v>
      </c>
      <c r="S880" t="s">
        <v>24</v>
      </c>
      <c r="T880" t="s">
        <v>316</v>
      </c>
    </row>
    <row r="881" spans="1:20" x14ac:dyDescent="0.25">
      <c r="A881">
        <v>80</v>
      </c>
      <c r="B881" t="str">
        <f>HYPERLINK("https://imapinvasives.natureserve.org/imap/services/page/Presence/1022974.html", "View")</f>
        <v>View</v>
      </c>
      <c r="C881">
        <v>1022974</v>
      </c>
      <c r="D881">
        <v>1023543</v>
      </c>
      <c r="E881" t="str">
        <f>HYPERLINK("http://imap3images.s3-website-us-east-1.amazonaws.com/1023543/p/Photo2-20180607-175943.jpg", "View")</f>
        <v>View</v>
      </c>
      <c r="F881" t="s">
        <v>233</v>
      </c>
      <c r="G881" t="s">
        <v>234</v>
      </c>
      <c r="H881">
        <v>61321</v>
      </c>
      <c r="I881" t="str">
        <f t="shared" si="39"/>
        <v>View</v>
      </c>
      <c r="J881" t="s">
        <v>233</v>
      </c>
      <c r="K881" t="s">
        <v>235</v>
      </c>
      <c r="L881">
        <v>61321</v>
      </c>
      <c r="M881">
        <v>70.03</v>
      </c>
      <c r="N881">
        <v>42.09</v>
      </c>
      <c r="P881">
        <v>1</v>
      </c>
      <c r="R881" t="s">
        <v>23</v>
      </c>
      <c r="S881" t="s">
        <v>79</v>
      </c>
      <c r="T881" t="s">
        <v>317</v>
      </c>
    </row>
    <row r="882" spans="1:20" x14ac:dyDescent="0.25">
      <c r="A882">
        <v>81</v>
      </c>
      <c r="B882" t="str">
        <f>HYPERLINK("https://imapinvasives.natureserve.org/imap/services/page/Presence/1068753.html", "View")</f>
        <v>View</v>
      </c>
      <c r="C882">
        <v>1068753</v>
      </c>
      <c r="D882">
        <v>1073587</v>
      </c>
      <c r="E882" t="str">
        <f>HYPERLINK("http://imap3images.s3-website-us-east-1.amazonaws.com/1073587/p/imap_app_photo_1599853027616.jpg", "View")</f>
        <v>View</v>
      </c>
      <c r="F882" t="s">
        <v>233</v>
      </c>
      <c r="G882" t="s">
        <v>234</v>
      </c>
      <c r="H882">
        <v>61321</v>
      </c>
      <c r="I882" t="str">
        <f t="shared" si="39"/>
        <v>View</v>
      </c>
      <c r="J882" t="s">
        <v>233</v>
      </c>
      <c r="K882" t="s">
        <v>235</v>
      </c>
      <c r="L882">
        <v>61321</v>
      </c>
      <c r="M882">
        <v>21.7</v>
      </c>
      <c r="N882">
        <v>99.82</v>
      </c>
      <c r="P882">
        <v>1</v>
      </c>
      <c r="R882" t="s">
        <v>23</v>
      </c>
      <c r="S882" t="s">
        <v>24</v>
      </c>
      <c r="T882" t="s">
        <v>316</v>
      </c>
    </row>
    <row r="883" spans="1:20" x14ac:dyDescent="0.25">
      <c r="A883">
        <v>82</v>
      </c>
      <c r="B883" t="str">
        <f>HYPERLINK("https://imapinvasives.natureserve.org/imap/services/page/Presence/1071152.html", "View")</f>
        <v>View</v>
      </c>
      <c r="C883">
        <v>1071152</v>
      </c>
      <c r="D883">
        <v>1076173</v>
      </c>
      <c r="E883" t="str">
        <f>HYPERLINK("http://imap3images.s3-website-us-east-1.amazonaws.com/1076173/p/attachment1.jpg", "View")</f>
        <v>View</v>
      </c>
      <c r="F883" t="s">
        <v>233</v>
      </c>
      <c r="G883" t="s">
        <v>234</v>
      </c>
      <c r="H883">
        <v>61321</v>
      </c>
      <c r="I883" t="str">
        <f t="shared" si="39"/>
        <v>View</v>
      </c>
      <c r="J883" t="s">
        <v>233</v>
      </c>
      <c r="K883" t="s">
        <v>235</v>
      </c>
      <c r="L883">
        <v>61321</v>
      </c>
      <c r="M883">
        <v>49.57</v>
      </c>
      <c r="N883">
        <v>95.12</v>
      </c>
      <c r="P883">
        <v>1</v>
      </c>
      <c r="R883" t="s">
        <v>23</v>
      </c>
      <c r="S883" t="s">
        <v>24</v>
      </c>
      <c r="T883" t="s">
        <v>316</v>
      </c>
    </row>
    <row r="884" spans="1:20" x14ac:dyDescent="0.25">
      <c r="A884">
        <v>83</v>
      </c>
      <c r="B884" t="str">
        <f>HYPERLINK("https://imapinvasives.natureserve.org/imap/services/page/Presence/1290693.html", "View")</f>
        <v>View</v>
      </c>
      <c r="C884">
        <v>1290693</v>
      </c>
      <c r="D884">
        <v>1300882</v>
      </c>
      <c r="E884" t="str">
        <f>HYPERLINK("http://imap3images.s3-website-us-east-1.amazonaws.com/1300882/p/imap_app_photo_1661892788232.jpg", "View")</f>
        <v>View</v>
      </c>
      <c r="F884" t="s">
        <v>233</v>
      </c>
      <c r="G884" t="s">
        <v>234</v>
      </c>
      <c r="H884">
        <v>61321</v>
      </c>
      <c r="I884" t="str">
        <f t="shared" si="39"/>
        <v>View</v>
      </c>
      <c r="J884" t="s">
        <v>233</v>
      </c>
      <c r="K884" t="s">
        <v>235</v>
      </c>
      <c r="L884">
        <v>61321</v>
      </c>
      <c r="M884">
        <v>51.66</v>
      </c>
      <c r="N884">
        <v>96.57</v>
      </c>
      <c r="P884">
        <v>1</v>
      </c>
      <c r="R884" t="s">
        <v>23</v>
      </c>
      <c r="S884" t="s">
        <v>24</v>
      </c>
      <c r="T884" t="s">
        <v>316</v>
      </c>
    </row>
    <row r="885" spans="1:20" x14ac:dyDescent="0.25">
      <c r="A885">
        <v>84</v>
      </c>
      <c r="B885" t="str">
        <f>HYPERLINK("https://imapinvasives.natureserve.org/imap/services/page/Presence/510307.html", "View")</f>
        <v>View</v>
      </c>
      <c r="C885">
        <v>510307</v>
      </c>
      <c r="D885">
        <v>510307</v>
      </c>
      <c r="E885" t="str">
        <f>HYPERLINK("http://imap3images.s3-website-us-east-1.amazonaws.com/510307/p/photourl1_2017_02_21_casbradshaw_7fvg15pu.jpg", "View")</f>
        <v>View</v>
      </c>
      <c r="F885" t="s">
        <v>233</v>
      </c>
      <c r="G885" t="s">
        <v>234</v>
      </c>
      <c r="H885">
        <v>61321</v>
      </c>
      <c r="I885" t="str">
        <f t="shared" si="39"/>
        <v>View</v>
      </c>
      <c r="J885" t="s">
        <v>233</v>
      </c>
      <c r="K885" t="s">
        <v>235</v>
      </c>
      <c r="L885">
        <v>61321</v>
      </c>
      <c r="M885">
        <v>64.349999999999994</v>
      </c>
      <c r="N885">
        <v>93.96</v>
      </c>
      <c r="P885">
        <v>1</v>
      </c>
      <c r="R885" t="s">
        <v>23</v>
      </c>
      <c r="S885" t="s">
        <v>24</v>
      </c>
      <c r="T885" t="s">
        <v>316</v>
      </c>
    </row>
    <row r="886" spans="1:20" x14ac:dyDescent="0.25">
      <c r="A886">
        <v>85</v>
      </c>
      <c r="B886" t="str">
        <f>HYPERLINK("https://imapinvasives.natureserve.org/imap/services/page/Presence/1164161.html", "View")</f>
        <v>View</v>
      </c>
      <c r="C886">
        <v>1164161</v>
      </c>
      <c r="D886">
        <v>1171392</v>
      </c>
      <c r="E886" t="str">
        <f>HYPERLINK("http://imap3images.s3-website-us-east-1.amazonaws.com/1171392/p/imap_app_photo_1632164052446.jpg", "View")</f>
        <v>View</v>
      </c>
      <c r="F886" t="s">
        <v>233</v>
      </c>
      <c r="G886" t="s">
        <v>234</v>
      </c>
      <c r="H886">
        <v>61321</v>
      </c>
      <c r="I886" t="str">
        <f t="shared" si="39"/>
        <v>View</v>
      </c>
      <c r="J886" t="s">
        <v>233</v>
      </c>
      <c r="K886" t="s">
        <v>235</v>
      </c>
      <c r="L886">
        <v>61321</v>
      </c>
      <c r="M886">
        <v>32.47</v>
      </c>
      <c r="N886">
        <v>96.11</v>
      </c>
      <c r="P886">
        <v>1</v>
      </c>
      <c r="R886" t="s">
        <v>23</v>
      </c>
      <c r="S886" t="s">
        <v>24</v>
      </c>
      <c r="T886" t="s">
        <v>316</v>
      </c>
    </row>
    <row r="887" spans="1:20" x14ac:dyDescent="0.25">
      <c r="A887">
        <v>86</v>
      </c>
      <c r="B887" t="str">
        <f>HYPERLINK("https://imapinvasives.natureserve.org/imap/services/page/Presence/1285938.html", "View")</f>
        <v>View</v>
      </c>
      <c r="C887">
        <v>1285938</v>
      </c>
      <c r="D887">
        <v>1295661</v>
      </c>
      <c r="E887" t="str">
        <f>HYPERLINK("http://imap3images.s3-website-us-east-1.amazonaws.com/1295661/p/imap_app_photo_1660144871885.jpg", "View")</f>
        <v>View</v>
      </c>
      <c r="F887" t="s">
        <v>233</v>
      </c>
      <c r="G887" t="s">
        <v>234</v>
      </c>
      <c r="H887">
        <v>61321</v>
      </c>
      <c r="I887" t="str">
        <f t="shared" si="39"/>
        <v>View</v>
      </c>
      <c r="J887" t="s">
        <v>233</v>
      </c>
      <c r="K887" t="s">
        <v>235</v>
      </c>
      <c r="L887">
        <v>61321</v>
      </c>
      <c r="M887">
        <v>49.72</v>
      </c>
      <c r="N887">
        <v>99.62</v>
      </c>
      <c r="P887">
        <v>1</v>
      </c>
      <c r="R887" t="s">
        <v>23</v>
      </c>
      <c r="S887" t="s">
        <v>24</v>
      </c>
      <c r="T887" t="s">
        <v>316</v>
      </c>
    </row>
    <row r="888" spans="1:20" x14ac:dyDescent="0.25">
      <c r="A888">
        <v>87</v>
      </c>
      <c r="B888" t="str">
        <f>HYPERLINK("https://imapinvasives.natureserve.org/imap/services/page/Presence/419161.html", "View")</f>
        <v>View</v>
      </c>
      <c r="C888">
        <v>419161</v>
      </c>
      <c r="D888">
        <v>419161</v>
      </c>
      <c r="E888" t="str">
        <f>HYPERLINK("http://imap3images.s3-website-us-east-1.amazonaws.com/419161/p/photourl1_2014_08_20_jerkrajna_srt5uwqc.jpg", "View")</f>
        <v>View</v>
      </c>
      <c r="F888" t="s">
        <v>233</v>
      </c>
      <c r="G888" t="s">
        <v>234</v>
      </c>
      <c r="H888">
        <v>61321</v>
      </c>
      <c r="I888" t="str">
        <f t="shared" si="39"/>
        <v>View</v>
      </c>
      <c r="J888" t="s">
        <v>233</v>
      </c>
      <c r="K888" t="s">
        <v>235</v>
      </c>
      <c r="L888">
        <v>61321</v>
      </c>
      <c r="M888">
        <v>50.17</v>
      </c>
      <c r="N888">
        <v>95.23</v>
      </c>
      <c r="P888">
        <v>1</v>
      </c>
      <c r="R888" t="s">
        <v>23</v>
      </c>
      <c r="S888" t="s">
        <v>24</v>
      </c>
      <c r="T888" t="s">
        <v>316</v>
      </c>
    </row>
    <row r="889" spans="1:20" x14ac:dyDescent="0.25">
      <c r="A889">
        <v>88</v>
      </c>
      <c r="B889" t="str">
        <f>HYPERLINK("https://imapinvasives.natureserve.org/imap/services/page/Presence/513098.html", "View")</f>
        <v>View</v>
      </c>
      <c r="C889">
        <v>513098</v>
      </c>
      <c r="D889">
        <v>513098</v>
      </c>
      <c r="E889" t="str">
        <f>HYPERLINK("http://imap3images.s3-website-us-east-1.amazonaws.com/513098/p/photourl1_2017_07_14_nevdunn_5dk2z3u2.jpg", "View")</f>
        <v>View</v>
      </c>
      <c r="F889" t="s">
        <v>233</v>
      </c>
      <c r="G889" t="s">
        <v>234</v>
      </c>
      <c r="H889">
        <v>61321</v>
      </c>
      <c r="I889" t="str">
        <f>HYPERLINK("https://www.inaturalist.org/taxa/130989-Euthamia-graminifolia", "View")</f>
        <v>View</v>
      </c>
      <c r="J889" t="s">
        <v>242</v>
      </c>
      <c r="K889" t="s">
        <v>243</v>
      </c>
      <c r="L889">
        <v>130989</v>
      </c>
      <c r="M889">
        <v>22.92</v>
      </c>
      <c r="N889">
        <v>51.28</v>
      </c>
      <c r="P889">
        <v>0</v>
      </c>
      <c r="R889" t="s">
        <v>23</v>
      </c>
      <c r="S889" t="s">
        <v>79</v>
      </c>
      <c r="T889" t="s">
        <v>317</v>
      </c>
    </row>
    <row r="890" spans="1:20" x14ac:dyDescent="0.25">
      <c r="A890">
        <v>89</v>
      </c>
      <c r="B890" t="str">
        <f>HYPERLINK("https://imapinvasives.natureserve.org/imap/services/page/Presence/1060537.html", "View")</f>
        <v>View</v>
      </c>
      <c r="C890">
        <v>1060537</v>
      </c>
      <c r="D890">
        <v>1065068</v>
      </c>
      <c r="E890" t="str">
        <f>HYPERLINK("http://imap3images.s3-website-us-east-1.amazonaws.com/1065068/p/imap_app_photo_1596121594908.jpg", "View")</f>
        <v>View</v>
      </c>
      <c r="F890" t="s">
        <v>233</v>
      </c>
      <c r="G890" t="s">
        <v>234</v>
      </c>
      <c r="H890">
        <v>61321</v>
      </c>
      <c r="I890" t="str">
        <f t="shared" ref="I890:I895" si="40">HYPERLINK("https://www.inaturalist.org/taxa/61321-Lythrum-salicaria", "View")</f>
        <v>View</v>
      </c>
      <c r="J890" t="s">
        <v>233</v>
      </c>
      <c r="K890" t="s">
        <v>235</v>
      </c>
      <c r="L890">
        <v>61321</v>
      </c>
      <c r="M890">
        <v>15.25</v>
      </c>
      <c r="N890">
        <v>97.24</v>
      </c>
      <c r="P890">
        <v>1</v>
      </c>
      <c r="R890" t="s">
        <v>23</v>
      </c>
      <c r="S890" t="s">
        <v>24</v>
      </c>
      <c r="T890" t="s">
        <v>316</v>
      </c>
    </row>
    <row r="891" spans="1:20" x14ac:dyDescent="0.25">
      <c r="A891">
        <v>90</v>
      </c>
      <c r="B891" t="str">
        <f>HYPERLINK("https://imapinvasives.natureserve.org/imap/services/page/Presence/1164142.html", "View")</f>
        <v>View</v>
      </c>
      <c r="C891">
        <v>1164142</v>
      </c>
      <c r="D891">
        <v>1171373</v>
      </c>
      <c r="E891" t="str">
        <f>HYPERLINK("http://imap3images.s3-website-us-east-1.amazonaws.com/1171373/p/imap_app_photo_1632163744905.jpg", "View")</f>
        <v>View</v>
      </c>
      <c r="F891" t="s">
        <v>233</v>
      </c>
      <c r="G891" t="s">
        <v>234</v>
      </c>
      <c r="H891">
        <v>61321</v>
      </c>
      <c r="I891" t="str">
        <f t="shared" si="40"/>
        <v>View</v>
      </c>
      <c r="J891" t="s">
        <v>233</v>
      </c>
      <c r="K891" t="s">
        <v>235</v>
      </c>
      <c r="L891">
        <v>61321</v>
      </c>
      <c r="M891">
        <v>32.47</v>
      </c>
      <c r="N891">
        <v>61.02</v>
      </c>
      <c r="P891">
        <v>1</v>
      </c>
      <c r="R891" t="s">
        <v>23</v>
      </c>
      <c r="S891" t="s">
        <v>24</v>
      </c>
      <c r="T891" t="s">
        <v>316</v>
      </c>
    </row>
    <row r="892" spans="1:20" x14ac:dyDescent="0.25">
      <c r="A892">
        <v>91</v>
      </c>
      <c r="B892" t="str">
        <f>HYPERLINK("https://imapinvasives.natureserve.org/imap/services/page/Presence/528334.html", "View")</f>
        <v>View</v>
      </c>
      <c r="C892">
        <v>528334</v>
      </c>
      <c r="D892">
        <v>528334</v>
      </c>
      <c r="E892" t="str">
        <f>HYPERLINK("http://imap3images.s3-website-us-east-1.amazonaws.com/528334/p/photourl1_2018_07_08_jesingham_96o7rrxa.jpg", "View")</f>
        <v>View</v>
      </c>
      <c r="F892" t="s">
        <v>233</v>
      </c>
      <c r="G892" t="s">
        <v>234</v>
      </c>
      <c r="H892">
        <v>61321</v>
      </c>
      <c r="I892" t="str">
        <f t="shared" si="40"/>
        <v>View</v>
      </c>
      <c r="J892" t="s">
        <v>233</v>
      </c>
      <c r="K892" t="s">
        <v>235</v>
      </c>
      <c r="L892">
        <v>61321</v>
      </c>
      <c r="M892">
        <v>46.03</v>
      </c>
      <c r="N892">
        <v>96.18</v>
      </c>
      <c r="P892">
        <v>1</v>
      </c>
      <c r="R892" t="s">
        <v>23</v>
      </c>
      <c r="S892" t="s">
        <v>24</v>
      </c>
      <c r="T892" t="s">
        <v>316</v>
      </c>
    </row>
    <row r="893" spans="1:20" x14ac:dyDescent="0.25">
      <c r="A893">
        <v>92</v>
      </c>
      <c r="B893" t="str">
        <f>HYPERLINK("https://imapinvasives.natureserve.org/imap/services/page/Presence/530059.html", "View")</f>
        <v>View</v>
      </c>
      <c r="C893">
        <v>530059</v>
      </c>
      <c r="D893">
        <v>530059</v>
      </c>
      <c r="E893" t="str">
        <f>HYPERLINK("http://imap3images.s3-website-us-east-1.amazonaws.com/530059/p/photourl1_2018_07_26_brirogers_4i3wxdbz.jpg", "View")</f>
        <v>View</v>
      </c>
      <c r="F893" t="s">
        <v>233</v>
      </c>
      <c r="G893" t="s">
        <v>234</v>
      </c>
      <c r="H893">
        <v>61321</v>
      </c>
      <c r="I893" t="str">
        <f t="shared" si="40"/>
        <v>View</v>
      </c>
      <c r="J893" t="s">
        <v>233</v>
      </c>
      <c r="K893" t="s">
        <v>235</v>
      </c>
      <c r="L893">
        <v>61321</v>
      </c>
      <c r="M893">
        <v>23</v>
      </c>
      <c r="N893">
        <v>99.73</v>
      </c>
      <c r="P893">
        <v>1</v>
      </c>
      <c r="R893" t="s">
        <v>23</v>
      </c>
      <c r="S893" t="s">
        <v>24</v>
      </c>
      <c r="T893" t="s">
        <v>316</v>
      </c>
    </row>
    <row r="894" spans="1:20" x14ac:dyDescent="0.25">
      <c r="A894">
        <v>93</v>
      </c>
      <c r="B894" t="str">
        <f>HYPERLINK("https://imapinvasives.natureserve.org/imap/services/page/Presence/449335.html", "View")</f>
        <v>View</v>
      </c>
      <c r="C894">
        <v>449335</v>
      </c>
      <c r="D894">
        <v>449335</v>
      </c>
      <c r="E894" t="str">
        <f>HYPERLINK("http://imap3images.s3-website-us-east-1.amazonaws.com/449335/p/photourl4_2015_08_12_lucnuessle_oh1frb6m.jpg", "View")</f>
        <v>View</v>
      </c>
      <c r="F894" t="s">
        <v>233</v>
      </c>
      <c r="G894" t="s">
        <v>234</v>
      </c>
      <c r="H894">
        <v>61321</v>
      </c>
      <c r="I894" t="str">
        <f t="shared" si="40"/>
        <v>View</v>
      </c>
      <c r="J894" t="s">
        <v>233</v>
      </c>
      <c r="K894" t="s">
        <v>235</v>
      </c>
      <c r="L894">
        <v>61321</v>
      </c>
      <c r="M894">
        <v>26.85</v>
      </c>
      <c r="N894">
        <v>93.26</v>
      </c>
      <c r="P894">
        <v>1</v>
      </c>
      <c r="R894" t="s">
        <v>23</v>
      </c>
      <c r="S894" t="s">
        <v>39</v>
      </c>
      <c r="T894" t="s">
        <v>317</v>
      </c>
    </row>
    <row r="895" spans="1:20" x14ac:dyDescent="0.25">
      <c r="A895">
        <v>94</v>
      </c>
      <c r="B895" t="str">
        <f>HYPERLINK("https://imapinvasives.natureserve.org/imap/services/page/Presence/420220.html", "View")</f>
        <v>View</v>
      </c>
      <c r="C895">
        <v>420220</v>
      </c>
      <c r="D895">
        <v>420220</v>
      </c>
      <c r="E895" t="str">
        <f>HYPERLINK("http://imap3images.s3-website-us-east-1.amazonaws.com/420220/p/photourl2_2014_09_09_jerkrajna_9syf5byd.jpg", "View")</f>
        <v>View</v>
      </c>
      <c r="F895" t="s">
        <v>233</v>
      </c>
      <c r="G895" t="s">
        <v>234</v>
      </c>
      <c r="H895">
        <v>61321</v>
      </c>
      <c r="I895" t="str">
        <f t="shared" si="40"/>
        <v>View</v>
      </c>
      <c r="J895" t="s">
        <v>233</v>
      </c>
      <c r="K895" t="s">
        <v>235</v>
      </c>
      <c r="L895">
        <v>61321</v>
      </c>
      <c r="M895">
        <v>44.82</v>
      </c>
      <c r="N895">
        <v>99.86</v>
      </c>
      <c r="P895">
        <v>1</v>
      </c>
      <c r="R895" t="s">
        <v>23</v>
      </c>
      <c r="S895" t="s">
        <v>24</v>
      </c>
      <c r="T895" t="s">
        <v>316</v>
      </c>
    </row>
    <row r="896" spans="1:20" x14ac:dyDescent="0.25">
      <c r="A896">
        <v>95</v>
      </c>
      <c r="B896" t="str">
        <f>HYPERLINK("https://imapinvasives.natureserve.org/imap/services/page/Presence/419963.html", "View")</f>
        <v>View</v>
      </c>
      <c r="C896">
        <v>419963</v>
      </c>
      <c r="D896">
        <v>419963</v>
      </c>
      <c r="E896" t="str">
        <f>HYPERLINK("http://imap3images.s3-website-us-east-1.amazonaws.com/419963/p/photourl1_2014_09_08_jerkrajna_hljz3rxf.jpg", "View")</f>
        <v>View</v>
      </c>
      <c r="F896" t="s">
        <v>233</v>
      </c>
      <c r="G896" t="s">
        <v>234</v>
      </c>
      <c r="H896">
        <v>61321</v>
      </c>
      <c r="I896" t="str">
        <f>HYPERLINK("https://www.inaturalist.org/taxa/125381-Asclepias-incarnata", "View")</f>
        <v>View</v>
      </c>
      <c r="J896" t="s">
        <v>264</v>
      </c>
      <c r="K896" t="s">
        <v>265</v>
      </c>
      <c r="L896">
        <v>125381</v>
      </c>
      <c r="M896">
        <v>35.549999999999997</v>
      </c>
      <c r="N896">
        <v>44.1</v>
      </c>
      <c r="P896">
        <v>0</v>
      </c>
      <c r="R896" t="s">
        <v>23</v>
      </c>
      <c r="S896" t="s">
        <v>24</v>
      </c>
      <c r="T896" t="s">
        <v>316</v>
      </c>
    </row>
    <row r="897" spans="1:20" x14ac:dyDescent="0.25">
      <c r="A897">
        <v>96</v>
      </c>
      <c r="B897" t="str">
        <f>HYPERLINK("https://imapinvasives.natureserve.org/imap/services/page/Presence/1068761.html", "View")</f>
        <v>View</v>
      </c>
      <c r="C897">
        <v>1068761</v>
      </c>
      <c r="D897">
        <v>1073595</v>
      </c>
      <c r="E897" t="str">
        <f>HYPERLINK("http://imap3images.s3-website-us-east-1.amazonaws.com/1073595/p/imap_app_photo_1599853354023.jpg", "View")</f>
        <v>View</v>
      </c>
      <c r="F897" t="s">
        <v>233</v>
      </c>
      <c r="G897" t="s">
        <v>234</v>
      </c>
      <c r="H897">
        <v>61321</v>
      </c>
      <c r="I897" t="str">
        <f>HYPERLINK("https://www.inaturalist.org/taxa/61321-Lythrum-salicaria", "View")</f>
        <v>View</v>
      </c>
      <c r="J897" t="s">
        <v>233</v>
      </c>
      <c r="K897" t="s">
        <v>235</v>
      </c>
      <c r="L897">
        <v>61321</v>
      </c>
      <c r="M897">
        <v>21.7</v>
      </c>
      <c r="N897">
        <v>99.65</v>
      </c>
      <c r="P897">
        <v>1</v>
      </c>
      <c r="R897" t="s">
        <v>23</v>
      </c>
      <c r="S897" t="s">
        <v>24</v>
      </c>
      <c r="T897" t="s">
        <v>316</v>
      </c>
    </row>
    <row r="898" spans="1:20" x14ac:dyDescent="0.25">
      <c r="A898">
        <v>97</v>
      </c>
      <c r="B898" t="str">
        <f>HYPERLINK("https://imapinvasives.natureserve.org/imap/services/page/Presence/1068957.html", "View")</f>
        <v>View</v>
      </c>
      <c r="C898">
        <v>1068957</v>
      </c>
      <c r="D898">
        <v>1073807</v>
      </c>
      <c r="E898" t="str">
        <f>HYPERLINK("http://imap3images.s3-website-us-east-1.amazonaws.com/1073807/p/imap_app_photo_1600004918553.jpg", "View")</f>
        <v>View</v>
      </c>
      <c r="F898" t="s">
        <v>233</v>
      </c>
      <c r="G898" t="s">
        <v>234</v>
      </c>
      <c r="H898">
        <v>61321</v>
      </c>
      <c r="I898" t="str">
        <f>HYPERLINK("https://www.inaturalist.org/taxa/61321-Lythrum-salicaria", "View")</f>
        <v>View</v>
      </c>
      <c r="J898" t="s">
        <v>233</v>
      </c>
      <c r="K898" t="s">
        <v>235</v>
      </c>
      <c r="L898">
        <v>61321</v>
      </c>
      <c r="M898">
        <v>32.47</v>
      </c>
      <c r="N898">
        <v>95.86</v>
      </c>
      <c r="P898">
        <v>1</v>
      </c>
      <c r="R898" t="s">
        <v>23</v>
      </c>
      <c r="S898" t="s">
        <v>24</v>
      </c>
      <c r="T898" t="s">
        <v>316</v>
      </c>
    </row>
    <row r="899" spans="1:20" x14ac:dyDescent="0.25">
      <c r="A899">
        <v>98</v>
      </c>
      <c r="B899" t="str">
        <f>HYPERLINK("https://imapinvasives.natureserve.org/imap/services/page/Presence/1068906.html", "View")</f>
        <v>View</v>
      </c>
      <c r="C899">
        <v>1068906</v>
      </c>
      <c r="D899">
        <v>1073749</v>
      </c>
      <c r="E899" t="str">
        <f>HYPERLINK("http://imap3images.s3-website-us-east-1.amazonaws.com/1073749/p/imap_app_photo_1599948947346.jpg", "View")</f>
        <v>View</v>
      </c>
      <c r="F899" t="s">
        <v>233</v>
      </c>
      <c r="G899" t="s">
        <v>234</v>
      </c>
      <c r="H899">
        <v>61321</v>
      </c>
      <c r="I899" t="str">
        <f>HYPERLINK("https://www.inaturalist.org/taxa/61321-Lythrum-salicaria", "View")</f>
        <v>View</v>
      </c>
      <c r="J899" t="s">
        <v>233</v>
      </c>
      <c r="K899" t="s">
        <v>235</v>
      </c>
      <c r="L899">
        <v>61321</v>
      </c>
      <c r="M899">
        <v>32.47</v>
      </c>
      <c r="N899">
        <v>84.99</v>
      </c>
      <c r="P899">
        <v>1</v>
      </c>
      <c r="R899" t="s">
        <v>23</v>
      </c>
      <c r="S899" t="s">
        <v>24</v>
      </c>
      <c r="T899" t="s">
        <v>316</v>
      </c>
    </row>
    <row r="900" spans="1:20" x14ac:dyDescent="0.25">
      <c r="A900">
        <v>99</v>
      </c>
      <c r="B900" t="str">
        <f>HYPERLINK("https://imapinvasives.natureserve.org/imap/services/page/Presence/1298661.html", "View")</f>
        <v>View</v>
      </c>
      <c r="C900">
        <v>1298661</v>
      </c>
      <c r="D900">
        <v>1308984</v>
      </c>
      <c r="E900" t="str">
        <f>HYPERLINK("http://imap3images.s3-website-us-east-1.amazonaws.com/1308984/p/imap_app_photo_1665611825511.jpg", "View")</f>
        <v>View</v>
      </c>
      <c r="F900" t="s">
        <v>233</v>
      </c>
      <c r="G900" t="s">
        <v>234</v>
      </c>
      <c r="H900">
        <v>61321</v>
      </c>
      <c r="I900" t="str">
        <f>HYPERLINK("https://www.inaturalist.org/taxa/61321-Lythrum-salicaria", "View")</f>
        <v>View</v>
      </c>
      <c r="J900" t="s">
        <v>233</v>
      </c>
      <c r="K900" t="s">
        <v>235</v>
      </c>
      <c r="L900">
        <v>61321</v>
      </c>
      <c r="M900">
        <v>62.78</v>
      </c>
      <c r="N900">
        <v>18.670000000000002</v>
      </c>
      <c r="P900">
        <v>1</v>
      </c>
      <c r="R900" t="s">
        <v>23</v>
      </c>
      <c r="S900" t="s">
        <v>64</v>
      </c>
      <c r="T900" t="s">
        <v>317</v>
      </c>
    </row>
    <row r="901" spans="1:20" x14ac:dyDescent="0.25">
      <c r="A901">
        <v>100</v>
      </c>
      <c r="B901" t="str">
        <f>HYPERLINK("https://imapinvasives.natureserve.org/imap/services/page/Presence/1289106.html", "View")</f>
        <v>View</v>
      </c>
      <c r="C901">
        <v>1289106</v>
      </c>
      <c r="D901">
        <v>1299199</v>
      </c>
      <c r="E901" t="str">
        <f>HYPERLINK("http://imap3images.s3-website-us-east-1.amazonaws.com/1299199/p/Photo1-20220824-225802.jpg", "View")</f>
        <v>View</v>
      </c>
      <c r="F901" t="s">
        <v>233</v>
      </c>
      <c r="G901" t="s">
        <v>234</v>
      </c>
      <c r="H901">
        <v>61321</v>
      </c>
      <c r="I901" t="str">
        <f>HYPERLINK("https://www.inaturalist.org/taxa/128551-Solidago-rugosa", "View")</f>
        <v>View</v>
      </c>
      <c r="J901" t="s">
        <v>201</v>
      </c>
      <c r="K901" t="s">
        <v>202</v>
      </c>
      <c r="L901">
        <v>128551</v>
      </c>
      <c r="M901">
        <v>14.64</v>
      </c>
      <c r="N901">
        <v>33.01</v>
      </c>
      <c r="P901">
        <v>0</v>
      </c>
      <c r="R901" t="s">
        <v>29</v>
      </c>
      <c r="S901" t="s">
        <v>28</v>
      </c>
      <c r="T901" t="s">
        <v>317</v>
      </c>
    </row>
    <row r="902" spans="1:20" x14ac:dyDescent="0.25">
      <c r="A902">
        <v>1</v>
      </c>
      <c r="B902" t="str">
        <f>HYPERLINK("https://imapinvasives.natureserve.org/imap/services/page/Presence/1345658.html", "View")</f>
        <v>View</v>
      </c>
      <c r="C902">
        <v>1345658</v>
      </c>
      <c r="D902">
        <v>1361895</v>
      </c>
      <c r="E902" t="str">
        <f>HYPERLINK("http://imap3images.s3-website-us-east-1.amazonaws.com/1361895/p/inat_photo_306123777.jpg", "View")</f>
        <v>View</v>
      </c>
      <c r="F902" t="s">
        <v>266</v>
      </c>
      <c r="G902" t="s">
        <v>267</v>
      </c>
      <c r="H902">
        <v>324726</v>
      </c>
      <c r="I902" t="str">
        <f t="shared" ref="I902:I918" si="41">HYPERLINK("https://www.inaturalist.org/taxa/324726-Lycorma-delicatula", "View")</f>
        <v>View</v>
      </c>
      <c r="J902" t="s">
        <v>266</v>
      </c>
      <c r="K902" t="s">
        <v>268</v>
      </c>
      <c r="L902">
        <v>324726</v>
      </c>
      <c r="M902">
        <v>76.7</v>
      </c>
      <c r="N902">
        <v>99.98</v>
      </c>
      <c r="O902">
        <v>1</v>
      </c>
      <c r="P902">
        <v>1</v>
      </c>
      <c r="R902" t="s">
        <v>23</v>
      </c>
      <c r="S902" t="s">
        <v>24</v>
      </c>
      <c r="T902" t="s">
        <v>316</v>
      </c>
    </row>
    <row r="903" spans="1:20" x14ac:dyDescent="0.25">
      <c r="A903">
        <v>2</v>
      </c>
      <c r="B903" t="str">
        <f>HYPERLINK("https://imapinvasives.natureserve.org/imap/services/page/Presence/1441466.html", "View")</f>
        <v>View</v>
      </c>
      <c r="C903">
        <v>1441466</v>
      </c>
      <c r="D903">
        <v>1455925</v>
      </c>
      <c r="E903" t="str">
        <f>HYPERLINK("http://imap3images.s3-website-us-east-1.amazonaws.com/1455925/p/inat_photo_419400015.jpg", "View")</f>
        <v>View</v>
      </c>
      <c r="F903" t="s">
        <v>266</v>
      </c>
      <c r="G903" t="s">
        <v>267</v>
      </c>
      <c r="H903">
        <v>324726</v>
      </c>
      <c r="I903" t="str">
        <f t="shared" si="41"/>
        <v>View</v>
      </c>
      <c r="J903" t="s">
        <v>266</v>
      </c>
      <c r="K903" t="s">
        <v>268</v>
      </c>
      <c r="L903">
        <v>324726</v>
      </c>
      <c r="M903">
        <v>2.81</v>
      </c>
      <c r="N903">
        <v>99.12</v>
      </c>
      <c r="O903">
        <v>1</v>
      </c>
      <c r="P903">
        <v>1</v>
      </c>
      <c r="R903" t="s">
        <v>23</v>
      </c>
      <c r="S903" t="s">
        <v>24</v>
      </c>
      <c r="T903" t="s">
        <v>316</v>
      </c>
    </row>
    <row r="904" spans="1:20" x14ac:dyDescent="0.25">
      <c r="A904">
        <v>3</v>
      </c>
      <c r="B904" t="str">
        <f>HYPERLINK("https://imapinvasives.natureserve.org/imap/services/page/Presence/1337429.html", "View")</f>
        <v>View</v>
      </c>
      <c r="C904">
        <v>1337429</v>
      </c>
      <c r="D904">
        <v>1351961</v>
      </c>
      <c r="E904" t="str">
        <f>HYPERLINK("http://imap3images.s3-website-us-east-1.amazonaws.com/1351961/p/inat_photo_292928717.jpg", "View")</f>
        <v>View</v>
      </c>
      <c r="F904" t="s">
        <v>266</v>
      </c>
      <c r="G904" t="s">
        <v>267</v>
      </c>
      <c r="H904">
        <v>324726</v>
      </c>
      <c r="I904" t="str">
        <f t="shared" si="41"/>
        <v>View</v>
      </c>
      <c r="J904" t="s">
        <v>266</v>
      </c>
      <c r="K904" t="s">
        <v>268</v>
      </c>
      <c r="L904">
        <v>324726</v>
      </c>
      <c r="M904">
        <v>76.7</v>
      </c>
      <c r="N904">
        <v>99.61</v>
      </c>
      <c r="O904">
        <v>1</v>
      </c>
      <c r="P904">
        <v>1</v>
      </c>
      <c r="R904" t="s">
        <v>23</v>
      </c>
      <c r="S904" t="s">
        <v>24</v>
      </c>
      <c r="T904" t="s">
        <v>316</v>
      </c>
    </row>
    <row r="905" spans="1:20" x14ac:dyDescent="0.25">
      <c r="A905">
        <v>4</v>
      </c>
      <c r="B905" t="str">
        <f>HYPERLINK("https://imapinvasives.natureserve.org/imap/services/page/Presence/1283528.html", "View")</f>
        <v>View</v>
      </c>
      <c r="C905">
        <v>1283528</v>
      </c>
      <c r="D905">
        <v>1293034</v>
      </c>
      <c r="E905" t="str">
        <f>HYPERLINK("http://imap3images.s3-website-us-east-1.amazonaws.com/1293034/p/inat_photo_215938076.jpg", "View")</f>
        <v>View</v>
      </c>
      <c r="F905" t="s">
        <v>266</v>
      </c>
      <c r="G905" t="s">
        <v>267</v>
      </c>
      <c r="H905">
        <v>324726</v>
      </c>
      <c r="I905" t="str">
        <f t="shared" si="41"/>
        <v>View</v>
      </c>
      <c r="J905" t="s">
        <v>266</v>
      </c>
      <c r="K905" t="s">
        <v>268</v>
      </c>
      <c r="L905">
        <v>324726</v>
      </c>
      <c r="M905">
        <v>81.28</v>
      </c>
      <c r="N905">
        <v>99.87</v>
      </c>
      <c r="O905">
        <v>1</v>
      </c>
      <c r="P905">
        <v>1</v>
      </c>
      <c r="R905" t="s">
        <v>23</v>
      </c>
      <c r="S905" t="s">
        <v>24</v>
      </c>
      <c r="T905" t="s">
        <v>316</v>
      </c>
    </row>
    <row r="906" spans="1:20" x14ac:dyDescent="0.25">
      <c r="A906">
        <v>5</v>
      </c>
      <c r="B906" t="str">
        <f>HYPERLINK("https://imapinvasives.natureserve.org/imap/services/page/Presence/1068480.html", "View")</f>
        <v>View</v>
      </c>
      <c r="C906">
        <v>1068480</v>
      </c>
      <c r="D906">
        <v>1073307</v>
      </c>
      <c r="E906" t="str">
        <f>HYPERLINK("http://imap3images.s3-website-us-east-1.amazonaws.com/1073307/p/inat_photo_93591620.jpg", "View")</f>
        <v>View</v>
      </c>
      <c r="F906" t="s">
        <v>266</v>
      </c>
      <c r="G906" t="s">
        <v>267</v>
      </c>
      <c r="H906">
        <v>324726</v>
      </c>
      <c r="I906" t="str">
        <f t="shared" si="41"/>
        <v>View</v>
      </c>
      <c r="J906" t="s">
        <v>266</v>
      </c>
      <c r="K906" t="s">
        <v>268</v>
      </c>
      <c r="L906">
        <v>324726</v>
      </c>
      <c r="M906">
        <v>89.66</v>
      </c>
      <c r="N906">
        <v>99.78</v>
      </c>
      <c r="O906">
        <v>1</v>
      </c>
      <c r="P906">
        <v>1</v>
      </c>
      <c r="R906" t="s">
        <v>23</v>
      </c>
      <c r="S906" t="s">
        <v>24</v>
      </c>
      <c r="T906" t="s">
        <v>316</v>
      </c>
    </row>
    <row r="907" spans="1:20" x14ac:dyDescent="0.25">
      <c r="A907">
        <v>6</v>
      </c>
      <c r="B907" t="str">
        <f>HYPERLINK("https://imapinvasives.natureserve.org/imap/services/page/Presence/1160168.html", "View")</f>
        <v>View</v>
      </c>
      <c r="C907">
        <v>1160168</v>
      </c>
      <c r="D907">
        <v>1167277</v>
      </c>
      <c r="E907" t="str">
        <f>HYPERLINK("http://imap3images.s3-website-us-east-1.amazonaws.com/1167277/p/inat_photo_153191392.jpg", "View")</f>
        <v>View</v>
      </c>
      <c r="F907" t="s">
        <v>266</v>
      </c>
      <c r="G907" t="s">
        <v>267</v>
      </c>
      <c r="H907">
        <v>324726</v>
      </c>
      <c r="I907" t="str">
        <f t="shared" si="41"/>
        <v>View</v>
      </c>
      <c r="J907" t="s">
        <v>266</v>
      </c>
      <c r="K907" t="s">
        <v>268</v>
      </c>
      <c r="L907">
        <v>324726</v>
      </c>
      <c r="M907">
        <v>81.28</v>
      </c>
      <c r="N907">
        <v>99.93</v>
      </c>
      <c r="O907">
        <v>1</v>
      </c>
      <c r="P907">
        <v>1</v>
      </c>
      <c r="R907" t="s">
        <v>23</v>
      </c>
      <c r="S907" t="s">
        <v>24</v>
      </c>
      <c r="T907" t="s">
        <v>316</v>
      </c>
    </row>
    <row r="908" spans="1:20" x14ac:dyDescent="0.25">
      <c r="A908">
        <v>7</v>
      </c>
      <c r="B908" t="str">
        <f>HYPERLINK("https://imapinvasives.natureserve.org/imap/services/page/Presence/1438701.html", "View")</f>
        <v>View</v>
      </c>
      <c r="C908">
        <v>1438701</v>
      </c>
      <c r="D908">
        <v>1452969</v>
      </c>
      <c r="E908" t="str">
        <f>HYPERLINK("http://imap3images.s3-website-us-east-1.amazonaws.com/1452969/p/imap_app_photo_1722789925159.jpg", "View")</f>
        <v>View</v>
      </c>
      <c r="F908" t="s">
        <v>266</v>
      </c>
      <c r="G908" t="s">
        <v>267</v>
      </c>
      <c r="H908">
        <v>324726</v>
      </c>
      <c r="I908" t="str">
        <f t="shared" si="41"/>
        <v>View</v>
      </c>
      <c r="J908" t="s">
        <v>266</v>
      </c>
      <c r="K908" t="s">
        <v>268</v>
      </c>
      <c r="L908">
        <v>324726</v>
      </c>
      <c r="M908">
        <v>57.71</v>
      </c>
      <c r="N908">
        <v>99.51</v>
      </c>
      <c r="O908">
        <v>1</v>
      </c>
      <c r="P908">
        <v>1</v>
      </c>
      <c r="R908" t="s">
        <v>23</v>
      </c>
      <c r="S908" t="s">
        <v>24</v>
      </c>
      <c r="T908" t="s">
        <v>316</v>
      </c>
    </row>
    <row r="909" spans="1:20" x14ac:dyDescent="0.25">
      <c r="A909">
        <v>8</v>
      </c>
      <c r="B909" t="str">
        <f>HYPERLINK("https://imapinvasives.natureserve.org/imap/services/page/Presence/1157682.html", "View")</f>
        <v>View</v>
      </c>
      <c r="C909">
        <v>1157682</v>
      </c>
      <c r="D909">
        <v>1164734</v>
      </c>
      <c r="E909" t="str">
        <f>HYPERLINK("http://imap3images.s3-website-us-east-1.amazonaws.com/1164734/p/inat_photo_149889546.jpg", "View")</f>
        <v>View</v>
      </c>
      <c r="F909" t="s">
        <v>266</v>
      </c>
      <c r="G909" t="s">
        <v>267</v>
      </c>
      <c r="H909">
        <v>324726</v>
      </c>
      <c r="I909" t="str">
        <f t="shared" si="41"/>
        <v>View</v>
      </c>
      <c r="J909" t="s">
        <v>266</v>
      </c>
      <c r="K909" t="s">
        <v>268</v>
      </c>
      <c r="L909">
        <v>324726</v>
      </c>
      <c r="M909">
        <v>81.28</v>
      </c>
      <c r="N909">
        <v>99.9</v>
      </c>
      <c r="O909">
        <v>1</v>
      </c>
      <c r="P909">
        <v>1</v>
      </c>
      <c r="R909" t="s">
        <v>23</v>
      </c>
      <c r="S909" t="s">
        <v>24</v>
      </c>
      <c r="T909" t="s">
        <v>316</v>
      </c>
    </row>
    <row r="910" spans="1:20" x14ac:dyDescent="0.25">
      <c r="A910">
        <v>9</v>
      </c>
      <c r="B910" t="str">
        <f>HYPERLINK("https://imapinvasives.natureserve.org/imap/services/page/Presence/1416980.html", "View")</f>
        <v>View</v>
      </c>
      <c r="C910">
        <v>1416980</v>
      </c>
      <c r="D910">
        <v>1430627</v>
      </c>
      <c r="E910" t="str">
        <f>HYPERLINK("http://imap3images.s3-website-us-east-1.amazonaws.com/1430627/p/inat_photo_401840543.jpg", "View")</f>
        <v>View</v>
      </c>
      <c r="F910" t="s">
        <v>266</v>
      </c>
      <c r="G910" t="s">
        <v>267</v>
      </c>
      <c r="H910">
        <v>324726</v>
      </c>
      <c r="I910" t="str">
        <f t="shared" si="41"/>
        <v>View</v>
      </c>
      <c r="J910" t="s">
        <v>266</v>
      </c>
      <c r="K910" t="s">
        <v>268</v>
      </c>
      <c r="L910">
        <v>324726</v>
      </c>
      <c r="M910">
        <v>12.17</v>
      </c>
      <c r="N910">
        <v>99.78</v>
      </c>
      <c r="O910">
        <v>1</v>
      </c>
      <c r="P910">
        <v>1</v>
      </c>
      <c r="R910" t="s">
        <v>23</v>
      </c>
      <c r="S910" t="s">
        <v>24</v>
      </c>
      <c r="T910" t="s">
        <v>316</v>
      </c>
    </row>
    <row r="911" spans="1:20" x14ac:dyDescent="0.25">
      <c r="A911">
        <v>10</v>
      </c>
      <c r="B911" t="str">
        <f>HYPERLINK("https://imapinvasives.natureserve.org/imap/services/page/Presence/1349571.html", "View")</f>
        <v>View</v>
      </c>
      <c r="C911">
        <v>1349571</v>
      </c>
      <c r="D911">
        <v>1366516</v>
      </c>
      <c r="E911" t="str">
        <f>HYPERLINK("http://imap3images.s3-website-us-east-1.amazonaws.com/1366516/p/inat_photo_312000857.jpg", "View")</f>
        <v>View</v>
      </c>
      <c r="F911" t="s">
        <v>266</v>
      </c>
      <c r="G911" t="s">
        <v>267</v>
      </c>
      <c r="H911">
        <v>324726</v>
      </c>
      <c r="I911" t="str">
        <f t="shared" si="41"/>
        <v>View</v>
      </c>
      <c r="J911" t="s">
        <v>266</v>
      </c>
      <c r="K911" t="s">
        <v>268</v>
      </c>
      <c r="L911">
        <v>324726</v>
      </c>
      <c r="M911">
        <v>76.7</v>
      </c>
      <c r="N911">
        <v>99.57</v>
      </c>
      <c r="O911">
        <v>1</v>
      </c>
      <c r="P911">
        <v>1</v>
      </c>
      <c r="R911" t="s">
        <v>23</v>
      </c>
      <c r="S911" t="s">
        <v>24</v>
      </c>
      <c r="T911" t="s">
        <v>316</v>
      </c>
    </row>
    <row r="912" spans="1:20" x14ac:dyDescent="0.25">
      <c r="A912">
        <v>11</v>
      </c>
      <c r="B912" t="str">
        <f>HYPERLINK("https://imapinvasives.natureserve.org/imap/services/page/Presence/1308941.html", "View")</f>
        <v>View</v>
      </c>
      <c r="C912">
        <v>1308941</v>
      </c>
      <c r="D912">
        <v>1319424</v>
      </c>
      <c r="E912" t="str">
        <f>HYPERLINK("http://imap3images.s3-website-us-east-1.amazonaws.com/1319424/p/inat_photo_242396664.jpg", "View")</f>
        <v>View</v>
      </c>
      <c r="F912" t="s">
        <v>266</v>
      </c>
      <c r="G912" t="s">
        <v>267</v>
      </c>
      <c r="H912">
        <v>324726</v>
      </c>
      <c r="I912" t="str">
        <f t="shared" si="41"/>
        <v>View</v>
      </c>
      <c r="J912" t="s">
        <v>266</v>
      </c>
      <c r="K912" t="s">
        <v>268</v>
      </c>
      <c r="L912">
        <v>324726</v>
      </c>
      <c r="M912">
        <v>76.7</v>
      </c>
      <c r="N912">
        <v>99.94</v>
      </c>
      <c r="O912">
        <v>1</v>
      </c>
      <c r="P912">
        <v>1</v>
      </c>
      <c r="R912" t="s">
        <v>23</v>
      </c>
      <c r="S912" t="s">
        <v>24</v>
      </c>
      <c r="T912" t="s">
        <v>316</v>
      </c>
    </row>
    <row r="913" spans="1:20" x14ac:dyDescent="0.25">
      <c r="A913">
        <v>12</v>
      </c>
      <c r="B913" t="str">
        <f>HYPERLINK("https://imapinvasives.natureserve.org/imap/services/page/Presence/1355275.html", "View")</f>
        <v>View</v>
      </c>
      <c r="C913">
        <v>1355275</v>
      </c>
      <c r="D913">
        <v>1372907</v>
      </c>
      <c r="E913" t="str">
        <f>HYPERLINK("http://imap3images.s3-website-us-east-1.amazonaws.com/1372907/p/IMG_5094.jpeg", "View")</f>
        <v>View</v>
      </c>
      <c r="F913" t="s">
        <v>266</v>
      </c>
      <c r="G913" t="s">
        <v>267</v>
      </c>
      <c r="H913">
        <v>324726</v>
      </c>
      <c r="I913" t="str">
        <f t="shared" si="41"/>
        <v>View</v>
      </c>
      <c r="J913" t="s">
        <v>266</v>
      </c>
      <c r="K913" t="s">
        <v>268</v>
      </c>
      <c r="L913">
        <v>324726</v>
      </c>
      <c r="M913">
        <v>76.7</v>
      </c>
      <c r="N913">
        <v>93.61</v>
      </c>
      <c r="O913">
        <v>1</v>
      </c>
      <c r="P913">
        <v>1</v>
      </c>
      <c r="R913" t="s">
        <v>23</v>
      </c>
      <c r="S913" t="s">
        <v>24</v>
      </c>
      <c r="T913" t="s">
        <v>316</v>
      </c>
    </row>
    <row r="914" spans="1:20" x14ac:dyDescent="0.25">
      <c r="A914">
        <v>13</v>
      </c>
      <c r="B914" t="str">
        <f>HYPERLINK("https://imapinvasives.natureserve.org/imap/services/page/Presence/1156920.html", "View")</f>
        <v>View</v>
      </c>
      <c r="C914">
        <v>1156920</v>
      </c>
      <c r="D914">
        <v>1163956</v>
      </c>
      <c r="E914" t="str">
        <f>HYPERLINK("http://imap3images.s3-website-us-east-1.amazonaws.com/1163956/p/3C094D5F-CE9B-4CB7-AEC2-8DEF7D182A6C.jpeg", "View")</f>
        <v>View</v>
      </c>
      <c r="F914" t="s">
        <v>266</v>
      </c>
      <c r="G914" t="s">
        <v>267</v>
      </c>
      <c r="H914">
        <v>324726</v>
      </c>
      <c r="I914" t="str">
        <f t="shared" si="41"/>
        <v>View</v>
      </c>
      <c r="J914" t="s">
        <v>266</v>
      </c>
      <c r="K914" t="s">
        <v>268</v>
      </c>
      <c r="L914">
        <v>324726</v>
      </c>
      <c r="M914">
        <v>89.66</v>
      </c>
      <c r="N914">
        <v>62.03</v>
      </c>
      <c r="O914">
        <v>1</v>
      </c>
      <c r="P914">
        <v>1</v>
      </c>
      <c r="R914" t="s">
        <v>29</v>
      </c>
      <c r="S914" t="s">
        <v>34</v>
      </c>
      <c r="T914" t="s">
        <v>317</v>
      </c>
    </row>
    <row r="915" spans="1:20" x14ac:dyDescent="0.25">
      <c r="A915">
        <v>14</v>
      </c>
      <c r="B915" t="str">
        <f>HYPERLINK("https://imapinvasives.natureserve.org/imap/services/page/Presence/1180108.html", "View")</f>
        <v>View</v>
      </c>
      <c r="C915">
        <v>1180108</v>
      </c>
      <c r="D915">
        <v>1187956</v>
      </c>
      <c r="E915" t="str">
        <f>HYPERLINK("http://imap3images.s3-website-us-east-1.amazonaws.com/1187956/p/inat_photo_166665010.jpg", "View")</f>
        <v>View</v>
      </c>
      <c r="F915" t="s">
        <v>266</v>
      </c>
      <c r="G915" t="s">
        <v>267</v>
      </c>
      <c r="H915">
        <v>324726</v>
      </c>
      <c r="I915" t="str">
        <f t="shared" si="41"/>
        <v>View</v>
      </c>
      <c r="J915" t="s">
        <v>266</v>
      </c>
      <c r="K915" t="s">
        <v>268</v>
      </c>
      <c r="L915">
        <v>324726</v>
      </c>
      <c r="M915">
        <v>81.28</v>
      </c>
      <c r="N915">
        <v>99.96</v>
      </c>
      <c r="O915">
        <v>1</v>
      </c>
      <c r="P915">
        <v>1</v>
      </c>
      <c r="R915" t="s">
        <v>23</v>
      </c>
      <c r="S915" t="s">
        <v>24</v>
      </c>
      <c r="T915" t="s">
        <v>316</v>
      </c>
    </row>
    <row r="916" spans="1:20" x14ac:dyDescent="0.25">
      <c r="A916">
        <v>15</v>
      </c>
      <c r="B916" t="str">
        <f>HYPERLINK("https://imapinvasives.natureserve.org/imap/services/page/Presence/1309189.html", "View")</f>
        <v>View</v>
      </c>
      <c r="C916">
        <v>1309189</v>
      </c>
      <c r="D916">
        <v>1319722</v>
      </c>
      <c r="E916" t="str">
        <f>HYPERLINK("http://imap3images.s3-website-us-east-1.amazonaws.com/1319722/p/inat_photo_244748884.jpg", "View")</f>
        <v>View</v>
      </c>
      <c r="F916" t="s">
        <v>266</v>
      </c>
      <c r="G916" t="s">
        <v>267</v>
      </c>
      <c r="H916">
        <v>324726</v>
      </c>
      <c r="I916" t="str">
        <f t="shared" si="41"/>
        <v>View</v>
      </c>
      <c r="J916" t="s">
        <v>266</v>
      </c>
      <c r="K916" t="s">
        <v>268</v>
      </c>
      <c r="L916">
        <v>324726</v>
      </c>
      <c r="M916">
        <v>57.71</v>
      </c>
      <c r="N916">
        <v>99.79</v>
      </c>
      <c r="O916">
        <v>1</v>
      </c>
      <c r="P916">
        <v>1</v>
      </c>
      <c r="R916" t="s">
        <v>23</v>
      </c>
      <c r="S916" t="s">
        <v>24</v>
      </c>
      <c r="T916" t="s">
        <v>316</v>
      </c>
    </row>
    <row r="917" spans="1:20" x14ac:dyDescent="0.25">
      <c r="A917">
        <v>16</v>
      </c>
      <c r="B917" t="str">
        <f>HYPERLINK("https://imapinvasives.natureserve.org/imap/services/page/Presence/1332936.html", "View")</f>
        <v>View</v>
      </c>
      <c r="C917">
        <v>1332936</v>
      </c>
      <c r="D917">
        <v>1347005</v>
      </c>
      <c r="E917" t="str">
        <f>HYPERLINK("http://imap3images.s3-website-us-east-1.amazonaws.com/1347005/p/inat_photo_284293389.jpg", "View")</f>
        <v>View</v>
      </c>
      <c r="F917" t="s">
        <v>266</v>
      </c>
      <c r="G917" t="s">
        <v>267</v>
      </c>
      <c r="H917">
        <v>324726</v>
      </c>
      <c r="I917" t="str">
        <f t="shared" si="41"/>
        <v>View</v>
      </c>
      <c r="J917" t="s">
        <v>266</v>
      </c>
      <c r="K917" t="s">
        <v>268</v>
      </c>
      <c r="L917">
        <v>324726</v>
      </c>
      <c r="M917">
        <v>64.569999999999993</v>
      </c>
      <c r="N917">
        <v>99.77</v>
      </c>
      <c r="O917">
        <v>1</v>
      </c>
      <c r="P917">
        <v>1</v>
      </c>
      <c r="R917" t="s">
        <v>23</v>
      </c>
      <c r="S917" t="s">
        <v>24</v>
      </c>
      <c r="T917" t="s">
        <v>316</v>
      </c>
    </row>
    <row r="918" spans="1:20" x14ac:dyDescent="0.25">
      <c r="A918">
        <v>17</v>
      </c>
      <c r="B918" t="str">
        <f>HYPERLINK("https://imapinvasives.natureserve.org/imap/services/page/Presence/1160793.html", "View")</f>
        <v>View</v>
      </c>
      <c r="C918">
        <v>1160793</v>
      </c>
      <c r="D918">
        <v>1167932</v>
      </c>
      <c r="E918" t="str">
        <f>HYPERLINK("http://imap3images.s3-website-us-east-1.amazonaws.com/1167932/p/inat_photo_154134154.jpg", "View")</f>
        <v>View</v>
      </c>
      <c r="F918" t="s">
        <v>266</v>
      </c>
      <c r="G918" t="s">
        <v>267</v>
      </c>
      <c r="H918">
        <v>324726</v>
      </c>
      <c r="I918" t="str">
        <f t="shared" si="41"/>
        <v>View</v>
      </c>
      <c r="J918" t="s">
        <v>266</v>
      </c>
      <c r="K918" t="s">
        <v>268</v>
      </c>
      <c r="L918">
        <v>324726</v>
      </c>
      <c r="M918">
        <v>89.66</v>
      </c>
      <c r="N918">
        <v>99.51</v>
      </c>
      <c r="O918">
        <v>1</v>
      </c>
      <c r="P918">
        <v>1</v>
      </c>
      <c r="R918" t="s">
        <v>23</v>
      </c>
      <c r="S918" t="s">
        <v>24</v>
      </c>
      <c r="T918" t="s">
        <v>316</v>
      </c>
    </row>
    <row r="919" spans="1:20" x14ac:dyDescent="0.25">
      <c r="A919">
        <v>18</v>
      </c>
      <c r="B919" t="str">
        <f>HYPERLINK("https://imapinvasives.natureserve.org/imap/services/page/Presence/1334248.html", "View")</f>
        <v>View</v>
      </c>
      <c r="C919">
        <v>1334248</v>
      </c>
      <c r="D919">
        <v>1348336</v>
      </c>
      <c r="E919" t="str">
        <f>HYPERLINK("http://imap3images.s3-website-us-east-1.amazonaws.com/1348336/p/IMG-2782.JPG", "View")</f>
        <v>View</v>
      </c>
      <c r="F919" t="s">
        <v>266</v>
      </c>
      <c r="G919" t="s">
        <v>267</v>
      </c>
      <c r="H919">
        <v>324726</v>
      </c>
      <c r="I919" t="str">
        <f>HYPERLINK("https://www.inaturalist.org/taxa/199125-Osmia-bucephala", "View")</f>
        <v>View</v>
      </c>
      <c r="J919" t="s">
        <v>269</v>
      </c>
      <c r="K919" t="s">
        <v>270</v>
      </c>
      <c r="L919">
        <v>199125</v>
      </c>
      <c r="M919">
        <v>8.6300000000000008</v>
      </c>
      <c r="N919">
        <v>10.99</v>
      </c>
      <c r="O919">
        <v>0</v>
      </c>
      <c r="P919">
        <v>0</v>
      </c>
      <c r="R919" t="s">
        <v>40</v>
      </c>
      <c r="S919" t="s">
        <v>33</v>
      </c>
      <c r="T919" t="s">
        <v>317</v>
      </c>
    </row>
    <row r="920" spans="1:20" x14ac:dyDescent="0.25">
      <c r="A920">
        <v>19</v>
      </c>
      <c r="B920" t="str">
        <f>HYPERLINK("https://imapinvasives.natureserve.org/imap/services/page/Presence/1160775.html", "View")</f>
        <v>View</v>
      </c>
      <c r="C920">
        <v>1160775</v>
      </c>
      <c r="D920">
        <v>1167914</v>
      </c>
      <c r="E920" t="str">
        <f>HYPERLINK("http://imap3images.s3-website-us-east-1.amazonaws.com/1167914/p/inat_photo_153924091.jpg", "View")</f>
        <v>View</v>
      </c>
      <c r="F920" t="s">
        <v>266</v>
      </c>
      <c r="G920" t="s">
        <v>267</v>
      </c>
      <c r="H920">
        <v>324726</v>
      </c>
      <c r="I920" t="str">
        <f>HYPERLINK("https://www.inaturalist.org/taxa/324726-Lycorma-delicatula", "View")</f>
        <v>View</v>
      </c>
      <c r="J920" t="s">
        <v>266</v>
      </c>
      <c r="K920" t="s">
        <v>268</v>
      </c>
      <c r="L920">
        <v>324726</v>
      </c>
      <c r="M920">
        <v>89.66</v>
      </c>
      <c r="N920">
        <v>99.76</v>
      </c>
      <c r="O920">
        <v>1</v>
      </c>
      <c r="P920">
        <v>1</v>
      </c>
      <c r="R920" t="s">
        <v>23</v>
      </c>
      <c r="S920" t="s">
        <v>24</v>
      </c>
      <c r="T920" t="s">
        <v>316</v>
      </c>
    </row>
    <row r="921" spans="1:20" x14ac:dyDescent="0.25">
      <c r="A921">
        <v>20</v>
      </c>
      <c r="B921" t="str">
        <f>HYPERLINK("https://imapinvasives.natureserve.org/imap/services/page/Presence/1164670.html", "View")</f>
        <v>View</v>
      </c>
      <c r="C921">
        <v>1164670</v>
      </c>
      <c r="D921">
        <v>1171914</v>
      </c>
      <c r="E921" t="str">
        <f>HYPERLINK("http://imap3images.s3-website-us-east-1.amazonaws.com/1171914/p/20210917_140233.jpg", "View")</f>
        <v>View</v>
      </c>
      <c r="F921" t="s">
        <v>266</v>
      </c>
      <c r="G921" t="s">
        <v>267</v>
      </c>
      <c r="H921">
        <v>324726</v>
      </c>
      <c r="I921" t="str">
        <f>HYPERLINK("https://www.inaturalist.org/taxa/324726-Lycorma-delicatula", "View")</f>
        <v>View</v>
      </c>
      <c r="J921" t="s">
        <v>266</v>
      </c>
      <c r="K921" t="s">
        <v>268</v>
      </c>
      <c r="L921">
        <v>324726</v>
      </c>
      <c r="M921">
        <v>61.19</v>
      </c>
      <c r="N921">
        <v>99.97</v>
      </c>
      <c r="O921">
        <v>1</v>
      </c>
      <c r="P921">
        <v>1</v>
      </c>
      <c r="R921" t="s">
        <v>23</v>
      </c>
      <c r="S921" t="s">
        <v>33</v>
      </c>
      <c r="T921" t="s">
        <v>317</v>
      </c>
    </row>
    <row r="922" spans="1:20" x14ac:dyDescent="0.25">
      <c r="A922">
        <v>21</v>
      </c>
      <c r="B922" t="str">
        <f>HYPERLINK("https://imapinvasives.natureserve.org/imap/services/page/Presence/1308939.html", "View")</f>
        <v>View</v>
      </c>
      <c r="C922">
        <v>1308939</v>
      </c>
      <c r="D922">
        <v>1319422</v>
      </c>
      <c r="E922" t="str">
        <f>HYPERLINK("http://imap3images.s3-website-us-east-1.amazonaws.com/1319422/p/inat_photo_242213083.jpg", "View")</f>
        <v>View</v>
      </c>
      <c r="F922" t="s">
        <v>266</v>
      </c>
      <c r="G922" t="s">
        <v>267</v>
      </c>
      <c r="H922">
        <v>324726</v>
      </c>
      <c r="I922" t="str">
        <f>HYPERLINK("https://www.inaturalist.org/taxa/324726-Lycorma-delicatula", "View")</f>
        <v>View</v>
      </c>
      <c r="J922" t="s">
        <v>266</v>
      </c>
      <c r="K922" t="s">
        <v>268</v>
      </c>
      <c r="L922">
        <v>324726</v>
      </c>
      <c r="M922">
        <v>76.52</v>
      </c>
      <c r="N922">
        <v>99.83</v>
      </c>
      <c r="O922">
        <v>1</v>
      </c>
      <c r="P922">
        <v>1</v>
      </c>
      <c r="R922" t="s">
        <v>23</v>
      </c>
      <c r="S922" t="s">
        <v>24</v>
      </c>
      <c r="T922" t="s">
        <v>316</v>
      </c>
    </row>
    <row r="923" spans="1:20" x14ac:dyDescent="0.25">
      <c r="A923">
        <v>22</v>
      </c>
      <c r="B923" t="str">
        <f>HYPERLINK("https://imapinvasives.natureserve.org/imap/services/page/Presence/1159078.html", "View")</f>
        <v>View</v>
      </c>
      <c r="C923">
        <v>1159078</v>
      </c>
      <c r="D923">
        <v>1166154</v>
      </c>
      <c r="E923" t="str">
        <f>HYPERLINK("http://imap3images.s3-website-us-east-1.amazonaws.com/1166154/p/inat_photo_150969540.jpg", "View")</f>
        <v>View</v>
      </c>
      <c r="F923" t="s">
        <v>266</v>
      </c>
      <c r="G923" t="s">
        <v>267</v>
      </c>
      <c r="H923">
        <v>324726</v>
      </c>
      <c r="I923" t="str">
        <f>HYPERLINK("https://www.inaturalist.org/taxa/324726-Lycorma-delicatula", "View")</f>
        <v>View</v>
      </c>
      <c r="J923" t="s">
        <v>266</v>
      </c>
      <c r="K923" t="s">
        <v>268</v>
      </c>
      <c r="L923">
        <v>324726</v>
      </c>
      <c r="M923">
        <v>81.28</v>
      </c>
      <c r="N923">
        <v>97.5</v>
      </c>
      <c r="O923">
        <v>1</v>
      </c>
      <c r="P923">
        <v>1</v>
      </c>
      <c r="R923" t="s">
        <v>23</v>
      </c>
      <c r="S923" t="s">
        <v>24</v>
      </c>
      <c r="T923" t="s">
        <v>316</v>
      </c>
    </row>
    <row r="924" spans="1:20" x14ac:dyDescent="0.25">
      <c r="A924">
        <v>23</v>
      </c>
      <c r="B924" t="str">
        <f>HYPERLINK("https://imapinvasives.natureserve.org/imap/services/page/Presence/1305114.html", "View")</f>
        <v>View</v>
      </c>
      <c r="C924">
        <v>1305114</v>
      </c>
      <c r="D924">
        <v>1315536</v>
      </c>
      <c r="E924" t="str">
        <f>HYPERLINK("http://imap3images.s3-website-us-east-1.amazonaws.com/1315536/p/inat_photo_240904721.jpg", "View")</f>
        <v>View</v>
      </c>
      <c r="F924" t="s">
        <v>266</v>
      </c>
      <c r="G924" t="s">
        <v>267</v>
      </c>
      <c r="H924">
        <v>324726</v>
      </c>
      <c r="I924" t="str">
        <f>HYPERLINK("https://www.inaturalist.org/taxa/118552-Felis-catus", "View")</f>
        <v>View</v>
      </c>
      <c r="J924" t="s">
        <v>271</v>
      </c>
      <c r="K924" t="s">
        <v>272</v>
      </c>
      <c r="L924">
        <v>118552</v>
      </c>
      <c r="M924">
        <v>47.09</v>
      </c>
      <c r="N924">
        <v>93.31</v>
      </c>
      <c r="O924">
        <v>0</v>
      </c>
      <c r="P924">
        <v>0</v>
      </c>
      <c r="R924" t="s">
        <v>29</v>
      </c>
      <c r="S924" t="s">
        <v>79</v>
      </c>
      <c r="T924" t="s">
        <v>317</v>
      </c>
    </row>
    <row r="925" spans="1:20" x14ac:dyDescent="0.25">
      <c r="A925">
        <v>24</v>
      </c>
      <c r="B925" t="str">
        <f>HYPERLINK("https://imapinvasives.natureserve.org/imap/services/page/Presence/1355057.html", "View")</f>
        <v>View</v>
      </c>
      <c r="C925">
        <v>1355057</v>
      </c>
      <c r="D925">
        <v>1372689</v>
      </c>
      <c r="E925" t="str">
        <f>HYPERLINK("http://imap3images.s3-website-us-east-1.amazonaws.com/1372689/p/IMG_3475.jpeg", "View")</f>
        <v>View</v>
      </c>
      <c r="F925" t="s">
        <v>266</v>
      </c>
      <c r="G925" t="s">
        <v>267</v>
      </c>
      <c r="H925">
        <v>324726</v>
      </c>
      <c r="I925" t="str">
        <f>HYPERLINK("https://www.inaturalist.org/taxa/324726-Lycorma-delicatula", "View")</f>
        <v>View</v>
      </c>
      <c r="J925" t="s">
        <v>266</v>
      </c>
      <c r="K925" t="s">
        <v>268</v>
      </c>
      <c r="L925">
        <v>324726</v>
      </c>
      <c r="M925">
        <v>76.7</v>
      </c>
      <c r="N925">
        <v>99.92</v>
      </c>
      <c r="O925">
        <v>1</v>
      </c>
      <c r="P925">
        <v>1</v>
      </c>
      <c r="R925" t="s">
        <v>23</v>
      </c>
      <c r="S925" t="s">
        <v>24</v>
      </c>
      <c r="T925" t="s">
        <v>316</v>
      </c>
    </row>
    <row r="926" spans="1:20" x14ac:dyDescent="0.25">
      <c r="A926">
        <v>25</v>
      </c>
      <c r="B926" t="str">
        <f>HYPERLINK("https://imapinvasives.natureserve.org/imap/services/page/Presence/1386155.html", "View")</f>
        <v>View</v>
      </c>
      <c r="C926">
        <v>1386155</v>
      </c>
      <c r="D926">
        <v>1404254</v>
      </c>
      <c r="E926" t="str">
        <f>HYPERLINK("http://imap3images.s3-website-us-east-1.amazonaws.com/1404254/p/imap_app_photo_1707763352601.jpg", "View")</f>
        <v>View</v>
      </c>
      <c r="F926" t="s">
        <v>266</v>
      </c>
      <c r="G926" t="s">
        <v>267</v>
      </c>
      <c r="H926">
        <v>324726</v>
      </c>
      <c r="I926" t="str">
        <f>HYPERLINK("https://www.inaturalist.org/taxa/324726-Lycorma-delicatula", "View")</f>
        <v>View</v>
      </c>
      <c r="J926" t="s">
        <v>266</v>
      </c>
      <c r="K926" t="s">
        <v>268</v>
      </c>
      <c r="L926">
        <v>324726</v>
      </c>
      <c r="M926">
        <v>57.71</v>
      </c>
      <c r="N926">
        <v>99.92</v>
      </c>
      <c r="O926">
        <v>1</v>
      </c>
      <c r="P926">
        <v>1</v>
      </c>
      <c r="R926" t="s">
        <v>23</v>
      </c>
      <c r="S926" t="s">
        <v>24</v>
      </c>
      <c r="T926" t="s">
        <v>316</v>
      </c>
    </row>
    <row r="927" spans="1:20" x14ac:dyDescent="0.25">
      <c r="A927">
        <v>26</v>
      </c>
      <c r="B927" t="str">
        <f>HYPERLINK("https://imapinvasives.natureserve.org/imap/services/page/Presence/1160935.html", "View")</f>
        <v>View</v>
      </c>
      <c r="C927">
        <v>1160935</v>
      </c>
      <c r="D927">
        <v>1168076</v>
      </c>
      <c r="E927" t="str">
        <f>HYPERLINK("http://imap3images.s3-website-us-east-1.amazonaws.com/1168076/p/inat_photo_154407944.jpg", "View")</f>
        <v>View</v>
      </c>
      <c r="F927" t="s">
        <v>266</v>
      </c>
      <c r="G927" t="s">
        <v>267</v>
      </c>
      <c r="H927">
        <v>324726</v>
      </c>
      <c r="I927" t="str">
        <f>HYPERLINK("https://www.inaturalist.org/taxa/324726-Lycorma-delicatula", "View")</f>
        <v>View</v>
      </c>
      <c r="J927" t="s">
        <v>266</v>
      </c>
      <c r="K927" t="s">
        <v>268</v>
      </c>
      <c r="L927">
        <v>324726</v>
      </c>
      <c r="M927">
        <v>89.66</v>
      </c>
      <c r="N927">
        <v>99.68</v>
      </c>
      <c r="O927">
        <v>1</v>
      </c>
      <c r="P927">
        <v>1</v>
      </c>
      <c r="R927" t="s">
        <v>23</v>
      </c>
      <c r="S927" t="s">
        <v>24</v>
      </c>
      <c r="T927" t="s">
        <v>316</v>
      </c>
    </row>
    <row r="928" spans="1:20" x14ac:dyDescent="0.25">
      <c r="A928">
        <v>27</v>
      </c>
      <c r="B928" t="str">
        <f>HYPERLINK("https://imapinvasives.natureserve.org/imap/services/page/Presence/1298624.html", "View")</f>
        <v>View</v>
      </c>
      <c r="C928">
        <v>1298624</v>
      </c>
      <c r="D928">
        <v>1308944</v>
      </c>
      <c r="E928" t="str">
        <f>HYPERLINK("http://imap3images.s3-website-us-east-1.amazonaws.com/1308944/p/inat_photo_235753154.jpg", "View")</f>
        <v>View</v>
      </c>
      <c r="F928" t="s">
        <v>266</v>
      </c>
      <c r="G928" t="s">
        <v>267</v>
      </c>
      <c r="H928">
        <v>324726</v>
      </c>
      <c r="I928" t="str">
        <f>HYPERLINK("https://www.inaturalist.org/taxa/324726-Lycorma-delicatula", "View")</f>
        <v>View</v>
      </c>
      <c r="J928" t="s">
        <v>266</v>
      </c>
      <c r="K928" t="s">
        <v>268</v>
      </c>
      <c r="L928">
        <v>324726</v>
      </c>
      <c r="M928">
        <v>61.19</v>
      </c>
      <c r="N928">
        <v>99.87</v>
      </c>
      <c r="O928">
        <v>1</v>
      </c>
      <c r="P928">
        <v>1</v>
      </c>
      <c r="R928" t="s">
        <v>23</v>
      </c>
      <c r="S928" t="s">
        <v>24</v>
      </c>
      <c r="T928" t="s">
        <v>316</v>
      </c>
    </row>
    <row r="929" spans="1:20" x14ac:dyDescent="0.25">
      <c r="A929">
        <v>28</v>
      </c>
      <c r="B929" t="str">
        <f>HYPERLINK("https://imapinvasives.natureserve.org/imap/services/page/Presence/1160794.html", "View")</f>
        <v>View</v>
      </c>
      <c r="C929">
        <v>1160794</v>
      </c>
      <c r="D929">
        <v>1167933</v>
      </c>
      <c r="E929" t="str">
        <f>HYPERLINK("http://imap3images.s3-website-us-east-1.amazonaws.com/1167933/p/inat_photo_154134229.jpg", "View")</f>
        <v>View</v>
      </c>
      <c r="F929" t="s">
        <v>266</v>
      </c>
      <c r="G929" t="s">
        <v>267</v>
      </c>
      <c r="H929">
        <v>324726</v>
      </c>
      <c r="I929" t="str">
        <f>HYPERLINK("https://www.inaturalist.org/taxa/324726-Lycorma-delicatula", "View")</f>
        <v>View</v>
      </c>
      <c r="J929" t="s">
        <v>266</v>
      </c>
      <c r="K929" t="s">
        <v>268</v>
      </c>
      <c r="L929">
        <v>324726</v>
      </c>
      <c r="M929">
        <v>89.66</v>
      </c>
      <c r="N929">
        <v>93.13</v>
      </c>
      <c r="O929">
        <v>1</v>
      </c>
      <c r="P929">
        <v>1</v>
      </c>
      <c r="R929" t="s">
        <v>23</v>
      </c>
      <c r="S929" t="s">
        <v>24</v>
      </c>
      <c r="T929" t="s">
        <v>316</v>
      </c>
    </row>
    <row r="930" spans="1:20" x14ac:dyDescent="0.25">
      <c r="A930">
        <v>29</v>
      </c>
      <c r="B930" t="str">
        <f>HYPERLINK("https://imapinvasives.natureserve.org/imap/services/page/Presence/1332559.html", "View")</f>
        <v>View</v>
      </c>
      <c r="C930">
        <v>1332559</v>
      </c>
      <c r="D930">
        <v>1346487</v>
      </c>
      <c r="E930" t="str">
        <f>HYPERLINK("http://imap3images.s3-website-us-east-1.amazonaws.com/1346487/p/SLF_at_FRSP_053123.jpg", "View")</f>
        <v>View</v>
      </c>
      <c r="F930" t="s">
        <v>266</v>
      </c>
      <c r="G930" t="s">
        <v>267</v>
      </c>
      <c r="H930">
        <v>324726</v>
      </c>
      <c r="I930" t="str">
        <f>HYPERLINK("https://www.inaturalist.org/taxa/129902-Camponotus-pennsylvanicus", "View")</f>
        <v>View</v>
      </c>
      <c r="J930" t="s">
        <v>273</v>
      </c>
      <c r="K930" t="s">
        <v>274</v>
      </c>
      <c r="L930">
        <v>129902</v>
      </c>
      <c r="M930">
        <v>49.73</v>
      </c>
      <c r="N930">
        <v>26.62</v>
      </c>
      <c r="O930">
        <v>0</v>
      </c>
      <c r="P930">
        <v>0</v>
      </c>
      <c r="R930" t="s">
        <v>40</v>
      </c>
      <c r="S930" t="s">
        <v>33</v>
      </c>
      <c r="T930" t="s">
        <v>317</v>
      </c>
    </row>
    <row r="931" spans="1:20" x14ac:dyDescent="0.25">
      <c r="A931">
        <v>30</v>
      </c>
      <c r="B931" t="str">
        <f>HYPERLINK("https://imapinvasives.natureserve.org/imap/services/page/Presence/1138177.html", "View")</f>
        <v>View</v>
      </c>
      <c r="C931">
        <v>1138177</v>
      </c>
      <c r="D931">
        <v>1144596</v>
      </c>
      <c r="E931" t="str">
        <f>HYPERLINK("http://imap3images.s3-website-us-east-1.amazonaws.com/1144596/p/imap_app_photo_1621427525818.jpg", "View")</f>
        <v>View</v>
      </c>
      <c r="F931" t="s">
        <v>266</v>
      </c>
      <c r="G931" t="s">
        <v>267</v>
      </c>
      <c r="H931">
        <v>324726</v>
      </c>
      <c r="I931" t="str">
        <f t="shared" ref="I931:I953" si="42">HYPERLINK("https://www.inaturalist.org/taxa/324726-Lycorma-delicatula", "View")</f>
        <v>View</v>
      </c>
      <c r="J931" t="s">
        <v>266</v>
      </c>
      <c r="K931" t="s">
        <v>268</v>
      </c>
      <c r="L931">
        <v>324726</v>
      </c>
      <c r="M931">
        <v>64.569999999999993</v>
      </c>
      <c r="N931">
        <v>40.700000000000003</v>
      </c>
      <c r="O931">
        <v>1</v>
      </c>
      <c r="P931">
        <v>1</v>
      </c>
      <c r="R931" t="s">
        <v>40</v>
      </c>
      <c r="S931" t="s">
        <v>28</v>
      </c>
      <c r="T931" t="s">
        <v>317</v>
      </c>
    </row>
    <row r="932" spans="1:20" x14ac:dyDescent="0.25">
      <c r="A932">
        <v>31</v>
      </c>
      <c r="B932" t="str">
        <f>HYPERLINK("https://imapinvasives.natureserve.org/imap/services/page/Presence/1249217.html", "View")</f>
        <v>View</v>
      </c>
      <c r="C932">
        <v>1249217</v>
      </c>
      <c r="D932">
        <v>1257372</v>
      </c>
      <c r="E932" t="str">
        <f>HYPERLINK("http://imap3images.s3-website-us-east-1.amazonaws.com/1257372/p/inat_photo_175415487.jpg", "View")</f>
        <v>View</v>
      </c>
      <c r="F932" t="s">
        <v>266</v>
      </c>
      <c r="G932" t="s">
        <v>267</v>
      </c>
      <c r="H932">
        <v>324726</v>
      </c>
      <c r="I932" t="str">
        <f t="shared" si="42"/>
        <v>View</v>
      </c>
      <c r="J932" t="s">
        <v>266</v>
      </c>
      <c r="K932" t="s">
        <v>268</v>
      </c>
      <c r="L932">
        <v>324726</v>
      </c>
      <c r="M932">
        <v>89.66</v>
      </c>
      <c r="N932">
        <v>98.83</v>
      </c>
      <c r="O932">
        <v>1</v>
      </c>
      <c r="P932">
        <v>1</v>
      </c>
      <c r="R932" t="s">
        <v>23</v>
      </c>
      <c r="S932" t="s">
        <v>24</v>
      </c>
      <c r="T932" t="s">
        <v>316</v>
      </c>
    </row>
    <row r="933" spans="1:20" x14ac:dyDescent="0.25">
      <c r="A933">
        <v>32</v>
      </c>
      <c r="B933" t="str">
        <f>HYPERLINK("https://imapinvasives.natureserve.org/imap/services/page/Presence/1153625.html", "View")</f>
        <v>View</v>
      </c>
      <c r="C933">
        <v>1153625</v>
      </c>
      <c r="D933">
        <v>1160610</v>
      </c>
      <c r="E933" t="str">
        <f>HYPERLINK("http://imap3images.s3-website-us-east-1.amazonaws.com/1160610/p/inat_photo_146909681.jpg", "View")</f>
        <v>View</v>
      </c>
      <c r="F933" t="s">
        <v>266</v>
      </c>
      <c r="G933" t="s">
        <v>267</v>
      </c>
      <c r="H933">
        <v>324726</v>
      </c>
      <c r="I933" t="str">
        <f t="shared" si="42"/>
        <v>View</v>
      </c>
      <c r="J933" t="s">
        <v>266</v>
      </c>
      <c r="K933" t="s">
        <v>268</v>
      </c>
      <c r="L933">
        <v>324726</v>
      </c>
      <c r="M933">
        <v>89.66</v>
      </c>
      <c r="N933">
        <v>99.99</v>
      </c>
      <c r="O933">
        <v>1</v>
      </c>
      <c r="P933">
        <v>1</v>
      </c>
      <c r="R933" t="s">
        <v>23</v>
      </c>
      <c r="S933" t="s">
        <v>24</v>
      </c>
      <c r="T933" t="s">
        <v>316</v>
      </c>
    </row>
    <row r="934" spans="1:20" x14ac:dyDescent="0.25">
      <c r="A934">
        <v>33</v>
      </c>
      <c r="B934" t="str">
        <f>HYPERLINK("https://imapinvasives.natureserve.org/imap/services/page/Presence/1153627.html", "View")</f>
        <v>View</v>
      </c>
      <c r="C934">
        <v>1153627</v>
      </c>
      <c r="D934">
        <v>1160612</v>
      </c>
      <c r="E934" t="str">
        <f>HYPERLINK("http://imap3images.s3-website-us-east-1.amazonaws.com/1160612/p/inat_photo_147012486.jpg", "View")</f>
        <v>View</v>
      </c>
      <c r="F934" t="s">
        <v>266</v>
      </c>
      <c r="G934" t="s">
        <v>267</v>
      </c>
      <c r="H934">
        <v>324726</v>
      </c>
      <c r="I934" t="str">
        <f t="shared" si="42"/>
        <v>View</v>
      </c>
      <c r="J934" t="s">
        <v>266</v>
      </c>
      <c r="K934" t="s">
        <v>268</v>
      </c>
      <c r="L934">
        <v>324726</v>
      </c>
      <c r="M934">
        <v>89.66</v>
      </c>
      <c r="N934">
        <v>99.86</v>
      </c>
      <c r="O934">
        <v>1</v>
      </c>
      <c r="P934">
        <v>1</v>
      </c>
      <c r="R934" t="s">
        <v>23</v>
      </c>
      <c r="S934" t="s">
        <v>24</v>
      </c>
      <c r="T934" t="s">
        <v>316</v>
      </c>
    </row>
    <row r="935" spans="1:20" x14ac:dyDescent="0.25">
      <c r="A935">
        <v>34</v>
      </c>
      <c r="B935" t="str">
        <f>HYPERLINK("https://imapinvasives.natureserve.org/imap/services/page/Presence/1291889.html", "View")</f>
        <v>View</v>
      </c>
      <c r="C935">
        <v>1291889</v>
      </c>
      <c r="D935">
        <v>1302094</v>
      </c>
      <c r="E935" t="str">
        <f>HYPERLINK("http://imap3images.s3-website-us-east-1.amazonaws.com/1302094/p/imap_app_photo_1663080397282.jpg", "View")</f>
        <v>View</v>
      </c>
      <c r="F935" t="s">
        <v>266</v>
      </c>
      <c r="G935" t="s">
        <v>267</v>
      </c>
      <c r="H935">
        <v>324726</v>
      </c>
      <c r="I935" t="str">
        <f t="shared" si="42"/>
        <v>View</v>
      </c>
      <c r="J935" t="s">
        <v>266</v>
      </c>
      <c r="K935" t="s">
        <v>268</v>
      </c>
      <c r="L935">
        <v>324726</v>
      </c>
      <c r="M935">
        <v>81.28</v>
      </c>
      <c r="N935">
        <v>69.22</v>
      </c>
      <c r="O935">
        <v>1</v>
      </c>
      <c r="P935">
        <v>1</v>
      </c>
      <c r="R935" t="s">
        <v>23</v>
      </c>
      <c r="S935" t="s">
        <v>33</v>
      </c>
      <c r="T935" t="s">
        <v>317</v>
      </c>
    </row>
    <row r="936" spans="1:20" x14ac:dyDescent="0.25">
      <c r="A936">
        <v>35</v>
      </c>
      <c r="B936" t="str">
        <f>HYPERLINK("https://imapinvasives.natureserve.org/imap/services/page/Presence/1416977.html", "View")</f>
        <v>View</v>
      </c>
      <c r="C936">
        <v>1416977</v>
      </c>
      <c r="D936">
        <v>1430624</v>
      </c>
      <c r="E936" t="str">
        <f>HYPERLINK("http://imap3images.s3-website-us-east-1.amazonaws.com/1430624/p/inat_photo_399251848.jpg", "View")</f>
        <v>View</v>
      </c>
      <c r="F936" t="s">
        <v>266</v>
      </c>
      <c r="G936" t="s">
        <v>267</v>
      </c>
      <c r="H936">
        <v>324726</v>
      </c>
      <c r="I936" t="str">
        <f t="shared" si="42"/>
        <v>View</v>
      </c>
      <c r="J936" t="s">
        <v>266</v>
      </c>
      <c r="K936" t="s">
        <v>268</v>
      </c>
      <c r="L936">
        <v>324726</v>
      </c>
      <c r="M936">
        <v>12.17</v>
      </c>
      <c r="N936">
        <v>98.84</v>
      </c>
      <c r="O936">
        <v>1</v>
      </c>
      <c r="P936">
        <v>1</v>
      </c>
      <c r="R936" t="s">
        <v>23</v>
      </c>
      <c r="S936" t="s">
        <v>24</v>
      </c>
      <c r="T936" t="s">
        <v>316</v>
      </c>
    </row>
    <row r="937" spans="1:20" x14ac:dyDescent="0.25">
      <c r="A937">
        <v>36</v>
      </c>
      <c r="B937" t="str">
        <f>HYPERLINK("https://imapinvasives.natureserve.org/imap/services/page/Presence/1162089.html", "View")</f>
        <v>View</v>
      </c>
      <c r="C937">
        <v>1162089</v>
      </c>
      <c r="D937">
        <v>1169257</v>
      </c>
      <c r="E937" t="str">
        <f>HYPERLINK("http://imap3images.s3-website-us-east-1.amazonaws.com/1169257/p/inat_photo_155352109.jpg", "View")</f>
        <v>View</v>
      </c>
      <c r="F937" t="s">
        <v>266</v>
      </c>
      <c r="G937" t="s">
        <v>267</v>
      </c>
      <c r="H937">
        <v>324726</v>
      </c>
      <c r="I937" t="str">
        <f t="shared" si="42"/>
        <v>View</v>
      </c>
      <c r="J937" t="s">
        <v>266</v>
      </c>
      <c r="K937" t="s">
        <v>268</v>
      </c>
      <c r="L937">
        <v>324726</v>
      </c>
      <c r="M937">
        <v>81.28</v>
      </c>
      <c r="N937">
        <v>87.78</v>
      </c>
      <c r="O937">
        <v>1</v>
      </c>
      <c r="P937">
        <v>1</v>
      </c>
      <c r="R937" t="s">
        <v>23</v>
      </c>
      <c r="S937" t="s">
        <v>24</v>
      </c>
      <c r="T937" t="s">
        <v>316</v>
      </c>
    </row>
    <row r="938" spans="1:20" x14ac:dyDescent="0.25">
      <c r="A938">
        <v>37</v>
      </c>
      <c r="B938" t="str">
        <f>HYPERLINK("https://imapinvasives.natureserve.org/imap/services/page/Presence/1159275.html", "View")</f>
        <v>View</v>
      </c>
      <c r="C938">
        <v>1159275</v>
      </c>
      <c r="D938">
        <v>1166357</v>
      </c>
      <c r="E938" t="str">
        <f>HYPERLINK("http://imap3images.s3-website-us-east-1.amazonaws.com/1166357/p/inat_photo_151510661.jpg", "View")</f>
        <v>View</v>
      </c>
      <c r="F938" t="s">
        <v>266</v>
      </c>
      <c r="G938" t="s">
        <v>267</v>
      </c>
      <c r="H938">
        <v>324726</v>
      </c>
      <c r="I938" t="str">
        <f t="shared" si="42"/>
        <v>View</v>
      </c>
      <c r="J938" t="s">
        <v>266</v>
      </c>
      <c r="K938" t="s">
        <v>268</v>
      </c>
      <c r="L938">
        <v>324726</v>
      </c>
      <c r="M938">
        <v>89.66</v>
      </c>
      <c r="N938">
        <v>56.26</v>
      </c>
      <c r="O938">
        <v>1</v>
      </c>
      <c r="P938">
        <v>1</v>
      </c>
      <c r="R938" t="s">
        <v>23</v>
      </c>
      <c r="S938" t="s">
        <v>33</v>
      </c>
      <c r="T938" t="s">
        <v>317</v>
      </c>
    </row>
    <row r="939" spans="1:20" x14ac:dyDescent="0.25">
      <c r="A939">
        <v>38</v>
      </c>
      <c r="B939" t="str">
        <f>HYPERLINK("https://imapinvasives.natureserve.org/imap/services/page/Presence/1308944.html", "View")</f>
        <v>View</v>
      </c>
      <c r="C939">
        <v>1308944</v>
      </c>
      <c r="D939">
        <v>1319427</v>
      </c>
      <c r="E939" t="str">
        <f>HYPERLINK("http://imap3images.s3-website-us-east-1.amazonaws.com/1319427/p/inat_photo_242656468.jpg", "View")</f>
        <v>View</v>
      </c>
      <c r="F939" t="s">
        <v>266</v>
      </c>
      <c r="G939" t="s">
        <v>267</v>
      </c>
      <c r="H939">
        <v>324726</v>
      </c>
      <c r="I939" t="str">
        <f t="shared" si="42"/>
        <v>View</v>
      </c>
      <c r="J939" t="s">
        <v>266</v>
      </c>
      <c r="K939" t="s">
        <v>268</v>
      </c>
      <c r="L939">
        <v>324726</v>
      </c>
      <c r="M939">
        <v>81.28</v>
      </c>
      <c r="N939">
        <v>99.97</v>
      </c>
      <c r="O939">
        <v>1</v>
      </c>
      <c r="P939">
        <v>1</v>
      </c>
      <c r="R939" t="s">
        <v>23</v>
      </c>
      <c r="S939" t="s">
        <v>33</v>
      </c>
      <c r="T939" t="s">
        <v>317</v>
      </c>
    </row>
    <row r="940" spans="1:20" x14ac:dyDescent="0.25">
      <c r="A940">
        <v>39</v>
      </c>
      <c r="B940" t="str">
        <f>HYPERLINK("https://imapinvasives.natureserve.org/imap/services/page/Presence/1355035.html", "View")</f>
        <v>View</v>
      </c>
      <c r="C940">
        <v>1355035</v>
      </c>
      <c r="D940">
        <v>1372667</v>
      </c>
      <c r="E940" t="str">
        <f>HYPERLINK("http://imap3images.s3-website-us-east-1.amazonaws.com/1372667/p/36A224D8-5C12-4A23-AAAA-25C877B92185.jpeg", "View")</f>
        <v>View</v>
      </c>
      <c r="F940" t="s">
        <v>266</v>
      </c>
      <c r="G940" t="s">
        <v>267</v>
      </c>
      <c r="H940">
        <v>324726</v>
      </c>
      <c r="I940" t="str">
        <f t="shared" si="42"/>
        <v>View</v>
      </c>
      <c r="J940" t="s">
        <v>266</v>
      </c>
      <c r="K940" t="s">
        <v>268</v>
      </c>
      <c r="L940">
        <v>324726</v>
      </c>
      <c r="M940">
        <v>81.28</v>
      </c>
      <c r="N940">
        <v>99.44</v>
      </c>
      <c r="O940">
        <v>1</v>
      </c>
      <c r="P940">
        <v>1</v>
      </c>
      <c r="R940" t="s">
        <v>23</v>
      </c>
      <c r="S940" t="s">
        <v>24</v>
      </c>
      <c r="T940" t="s">
        <v>316</v>
      </c>
    </row>
    <row r="941" spans="1:20" x14ac:dyDescent="0.25">
      <c r="A941">
        <v>40</v>
      </c>
      <c r="B941" t="str">
        <f>HYPERLINK("https://imapinvasives.natureserve.org/imap/services/page/Presence/1163957.html", "View")</f>
        <v>View</v>
      </c>
      <c r="C941">
        <v>1163957</v>
      </c>
      <c r="D941">
        <v>1171187</v>
      </c>
      <c r="E941" t="str">
        <f>HYPERLINK("http://imap3images.s3-website-us-east-1.amazonaws.com/1171187/p/inat_photo_157767346.jpg", "View")</f>
        <v>View</v>
      </c>
      <c r="F941" t="s">
        <v>266</v>
      </c>
      <c r="G941" t="s">
        <v>267</v>
      </c>
      <c r="H941">
        <v>324726</v>
      </c>
      <c r="I941" t="str">
        <f t="shared" si="42"/>
        <v>View</v>
      </c>
      <c r="J941" t="s">
        <v>266</v>
      </c>
      <c r="K941" t="s">
        <v>268</v>
      </c>
      <c r="L941">
        <v>324726</v>
      </c>
      <c r="M941">
        <v>89.66</v>
      </c>
      <c r="N941">
        <v>98.48</v>
      </c>
      <c r="O941">
        <v>1</v>
      </c>
      <c r="P941">
        <v>1</v>
      </c>
      <c r="R941" t="s">
        <v>23</v>
      </c>
      <c r="S941" t="s">
        <v>24</v>
      </c>
      <c r="T941" t="s">
        <v>316</v>
      </c>
    </row>
    <row r="942" spans="1:20" x14ac:dyDescent="0.25">
      <c r="A942">
        <v>41</v>
      </c>
      <c r="B942" t="str">
        <f>HYPERLINK("https://imapinvasives.natureserve.org/imap/services/page/Presence/1165816.html", "View")</f>
        <v>View</v>
      </c>
      <c r="C942">
        <v>1165816</v>
      </c>
      <c r="D942">
        <v>1173085</v>
      </c>
      <c r="E942" t="str">
        <f>HYPERLINK("http://imap3images.s3-website-us-east-1.amazonaws.com/1173085/p/inat_photo_160717741.jpg", "View")</f>
        <v>View</v>
      </c>
      <c r="F942" t="s">
        <v>266</v>
      </c>
      <c r="G942" t="s">
        <v>267</v>
      </c>
      <c r="H942">
        <v>324726</v>
      </c>
      <c r="I942" t="str">
        <f t="shared" si="42"/>
        <v>View</v>
      </c>
      <c r="J942" t="s">
        <v>266</v>
      </c>
      <c r="K942" t="s">
        <v>268</v>
      </c>
      <c r="L942">
        <v>324726</v>
      </c>
      <c r="M942">
        <v>81.28</v>
      </c>
      <c r="N942">
        <v>99.47</v>
      </c>
      <c r="O942">
        <v>1</v>
      </c>
      <c r="P942">
        <v>1</v>
      </c>
      <c r="R942" t="s">
        <v>23</v>
      </c>
      <c r="S942" t="s">
        <v>24</v>
      </c>
      <c r="T942" t="s">
        <v>316</v>
      </c>
    </row>
    <row r="943" spans="1:20" x14ac:dyDescent="0.25">
      <c r="A943">
        <v>42</v>
      </c>
      <c r="B943" t="str">
        <f>HYPERLINK("https://imapinvasives.natureserve.org/imap/services/page/Presence/1160916.html", "View")</f>
        <v>View</v>
      </c>
      <c r="C943">
        <v>1160916</v>
      </c>
      <c r="D943">
        <v>1168055</v>
      </c>
      <c r="E943" t="str">
        <f>HYPERLINK("http://imap3images.s3-website-us-east-1.amazonaws.com/1168055/p/imap_app_photo_1630449043590.jpg", "View")</f>
        <v>View</v>
      </c>
      <c r="F943" t="s">
        <v>266</v>
      </c>
      <c r="G943" t="s">
        <v>267</v>
      </c>
      <c r="H943">
        <v>324726</v>
      </c>
      <c r="I943" t="str">
        <f t="shared" si="42"/>
        <v>View</v>
      </c>
      <c r="J943" t="s">
        <v>266</v>
      </c>
      <c r="K943" t="s">
        <v>268</v>
      </c>
      <c r="L943">
        <v>324726</v>
      </c>
      <c r="M943">
        <v>81.28</v>
      </c>
      <c r="N943">
        <v>99.73</v>
      </c>
      <c r="O943">
        <v>1</v>
      </c>
      <c r="P943">
        <v>1</v>
      </c>
      <c r="R943" t="s">
        <v>23</v>
      </c>
      <c r="S943" t="s">
        <v>24</v>
      </c>
      <c r="T943" t="s">
        <v>316</v>
      </c>
    </row>
    <row r="944" spans="1:20" x14ac:dyDescent="0.25">
      <c r="A944">
        <v>43</v>
      </c>
      <c r="B944" t="str">
        <f>HYPERLINK("https://imapinvasives.natureserve.org/imap/services/page/Presence/1248781.html", "View")</f>
        <v>View</v>
      </c>
      <c r="C944">
        <v>1248781</v>
      </c>
      <c r="D944">
        <v>1256924</v>
      </c>
      <c r="E944" t="str">
        <f>HYPERLINK("http://imap3images.s3-website-us-east-1.amazonaws.com/1256924/p/imap_app_photo_1641477410986.jpg", "View")</f>
        <v>View</v>
      </c>
      <c r="F944" t="s">
        <v>266</v>
      </c>
      <c r="G944" t="s">
        <v>267</v>
      </c>
      <c r="H944">
        <v>324726</v>
      </c>
      <c r="I944" t="str">
        <f t="shared" si="42"/>
        <v>View</v>
      </c>
      <c r="J944" t="s">
        <v>266</v>
      </c>
      <c r="K944" t="s">
        <v>268</v>
      </c>
      <c r="L944">
        <v>324726</v>
      </c>
      <c r="M944">
        <v>81.28</v>
      </c>
      <c r="N944">
        <v>99.88</v>
      </c>
      <c r="O944">
        <v>1</v>
      </c>
      <c r="P944">
        <v>1</v>
      </c>
      <c r="R944" t="s">
        <v>23</v>
      </c>
      <c r="S944" t="s">
        <v>24</v>
      </c>
      <c r="T944" t="s">
        <v>316</v>
      </c>
    </row>
    <row r="945" spans="1:20" x14ac:dyDescent="0.25">
      <c r="A945">
        <v>44</v>
      </c>
      <c r="B945" t="str">
        <f>HYPERLINK("https://imapinvasives.natureserve.org/imap/services/page/Presence/1439739.html", "View")</f>
        <v>View</v>
      </c>
      <c r="C945">
        <v>1439739</v>
      </c>
      <c r="D945">
        <v>1454173</v>
      </c>
      <c r="E945" t="str">
        <f>HYPERLINK("http://imap3images.s3-website-us-east-1.amazonaws.com/1454173/p/imap_app_photo_1723477452712.jpg", "View")</f>
        <v>View</v>
      </c>
      <c r="F945" t="s">
        <v>266</v>
      </c>
      <c r="G945" t="s">
        <v>267</v>
      </c>
      <c r="H945">
        <v>324726</v>
      </c>
      <c r="I945" t="str">
        <f t="shared" si="42"/>
        <v>View</v>
      </c>
      <c r="J945" t="s">
        <v>266</v>
      </c>
      <c r="K945" t="s">
        <v>268</v>
      </c>
      <c r="L945">
        <v>324726</v>
      </c>
      <c r="M945">
        <v>59.7</v>
      </c>
      <c r="N945">
        <v>64.95</v>
      </c>
      <c r="O945">
        <v>1</v>
      </c>
      <c r="P945">
        <v>1</v>
      </c>
      <c r="R945" t="s">
        <v>23</v>
      </c>
      <c r="S945" t="s">
        <v>33</v>
      </c>
      <c r="T945" t="s">
        <v>317</v>
      </c>
    </row>
    <row r="946" spans="1:20" x14ac:dyDescent="0.25">
      <c r="A946">
        <v>45</v>
      </c>
      <c r="B946" t="str">
        <f>HYPERLINK("https://imapinvasives.natureserve.org/imap/services/page/Presence/1416976.html", "View")</f>
        <v>View</v>
      </c>
      <c r="C946">
        <v>1416976</v>
      </c>
      <c r="D946">
        <v>1430623</v>
      </c>
      <c r="E946" t="str">
        <f>HYPERLINK("http://imap3images.s3-website-us-east-1.amazonaws.com/1430623/p/inat_photo_398571876.jpg", "View")</f>
        <v>View</v>
      </c>
      <c r="F946" t="s">
        <v>266</v>
      </c>
      <c r="G946" t="s">
        <v>267</v>
      </c>
      <c r="H946">
        <v>324726</v>
      </c>
      <c r="I946" t="str">
        <f t="shared" si="42"/>
        <v>View</v>
      </c>
      <c r="J946" t="s">
        <v>266</v>
      </c>
      <c r="K946" t="s">
        <v>268</v>
      </c>
      <c r="L946">
        <v>324726</v>
      </c>
      <c r="M946">
        <v>57.71</v>
      </c>
      <c r="N946">
        <v>99.9</v>
      </c>
      <c r="O946">
        <v>1</v>
      </c>
      <c r="P946">
        <v>1</v>
      </c>
      <c r="R946" t="s">
        <v>23</v>
      </c>
      <c r="S946" t="s">
        <v>24</v>
      </c>
      <c r="T946" t="s">
        <v>316</v>
      </c>
    </row>
    <row r="947" spans="1:20" x14ac:dyDescent="0.25">
      <c r="A947">
        <v>46</v>
      </c>
      <c r="B947" t="str">
        <f>HYPERLINK("https://imapinvasives.natureserve.org/imap/services/page/Presence/1355266.html", "View")</f>
        <v>View</v>
      </c>
      <c r="C947">
        <v>1355266</v>
      </c>
      <c r="D947">
        <v>1372898</v>
      </c>
      <c r="E947" t="str">
        <f>HYPERLINK("http://imap3images.s3-website-us-east-1.amazonaws.com/1372898/p/40C3B64D-3ACC-4992-BDE4-C7FC576C8522.jpeg", "View")</f>
        <v>View</v>
      </c>
      <c r="F947" t="s">
        <v>266</v>
      </c>
      <c r="G947" t="s">
        <v>267</v>
      </c>
      <c r="H947">
        <v>324726</v>
      </c>
      <c r="I947" t="str">
        <f t="shared" si="42"/>
        <v>View</v>
      </c>
      <c r="J947" t="s">
        <v>266</v>
      </c>
      <c r="K947" t="s">
        <v>268</v>
      </c>
      <c r="L947">
        <v>324726</v>
      </c>
      <c r="M947">
        <v>81.28</v>
      </c>
      <c r="N947">
        <v>100</v>
      </c>
      <c r="O947">
        <v>1</v>
      </c>
      <c r="P947">
        <v>1</v>
      </c>
      <c r="R947" t="s">
        <v>23</v>
      </c>
      <c r="S947" t="s">
        <v>24</v>
      </c>
      <c r="T947" t="s">
        <v>316</v>
      </c>
    </row>
    <row r="948" spans="1:20" x14ac:dyDescent="0.25">
      <c r="A948">
        <v>47</v>
      </c>
      <c r="B948" t="str">
        <f>HYPERLINK("https://imapinvasives.natureserve.org/imap/services/page/Presence/1161146.html", "View")</f>
        <v>View</v>
      </c>
      <c r="C948">
        <v>1161146</v>
      </c>
      <c r="D948">
        <v>1168287</v>
      </c>
      <c r="E948" t="str">
        <f>HYPERLINK("http://imap3images.s3-website-us-east-1.amazonaws.com/1168287/p/inat_photo_154585808.jpg", "View")</f>
        <v>View</v>
      </c>
      <c r="F948" t="s">
        <v>266</v>
      </c>
      <c r="G948" t="s">
        <v>267</v>
      </c>
      <c r="H948">
        <v>324726</v>
      </c>
      <c r="I948" t="str">
        <f t="shared" si="42"/>
        <v>View</v>
      </c>
      <c r="J948" t="s">
        <v>266</v>
      </c>
      <c r="K948" t="s">
        <v>268</v>
      </c>
      <c r="L948">
        <v>324726</v>
      </c>
      <c r="M948">
        <v>89.66</v>
      </c>
      <c r="N948">
        <v>99.97</v>
      </c>
      <c r="O948">
        <v>1</v>
      </c>
      <c r="P948">
        <v>1</v>
      </c>
      <c r="R948" t="s">
        <v>23</v>
      </c>
      <c r="S948" t="s">
        <v>33</v>
      </c>
      <c r="T948" t="s">
        <v>317</v>
      </c>
    </row>
    <row r="949" spans="1:20" x14ac:dyDescent="0.25">
      <c r="A949">
        <v>48</v>
      </c>
      <c r="B949" t="str">
        <f>HYPERLINK("https://imapinvasives.natureserve.org/imap/services/page/Presence/1342913.html", "View")</f>
        <v>View</v>
      </c>
      <c r="C949">
        <v>1342913</v>
      </c>
      <c r="D949">
        <v>1358429</v>
      </c>
      <c r="E949" t="str">
        <f>HYPERLINK("http://imap3images.s3-website-us-east-1.amazonaws.com/1358429/p/IMG_4623.jpg", "View")</f>
        <v>View</v>
      </c>
      <c r="F949" t="s">
        <v>266</v>
      </c>
      <c r="G949" t="s">
        <v>267</v>
      </c>
      <c r="H949">
        <v>324726</v>
      </c>
      <c r="I949" t="str">
        <f t="shared" si="42"/>
        <v>View</v>
      </c>
      <c r="J949" t="s">
        <v>266</v>
      </c>
      <c r="K949" t="s">
        <v>268</v>
      </c>
      <c r="L949">
        <v>324726</v>
      </c>
      <c r="M949">
        <v>76.7</v>
      </c>
      <c r="N949">
        <v>97.81</v>
      </c>
      <c r="O949">
        <v>1</v>
      </c>
      <c r="P949">
        <v>1</v>
      </c>
      <c r="R949" t="s">
        <v>23</v>
      </c>
      <c r="S949" t="s">
        <v>24</v>
      </c>
      <c r="T949" t="s">
        <v>316</v>
      </c>
    </row>
    <row r="950" spans="1:20" x14ac:dyDescent="0.25">
      <c r="A950">
        <v>49</v>
      </c>
      <c r="B950" t="str">
        <f>HYPERLINK("https://imapinvasives.natureserve.org/imap/services/page/Presence/1435375.html", "View")</f>
        <v>View</v>
      </c>
      <c r="C950">
        <v>1435375</v>
      </c>
      <c r="D950">
        <v>1449086</v>
      </c>
      <c r="E950" t="str">
        <f>HYPERLINK("http://imap3images.s3-website-us-east-1.amazonaws.com/1449086/p/imap_app_photo_1721506192976.jpg", "View")</f>
        <v>View</v>
      </c>
      <c r="F950" t="s">
        <v>266</v>
      </c>
      <c r="G950" t="s">
        <v>267</v>
      </c>
      <c r="H950">
        <v>324726</v>
      </c>
      <c r="I950" t="str">
        <f t="shared" si="42"/>
        <v>View</v>
      </c>
      <c r="J950" t="s">
        <v>266</v>
      </c>
      <c r="K950" t="s">
        <v>268</v>
      </c>
      <c r="L950">
        <v>324726</v>
      </c>
      <c r="M950">
        <v>64.569999999999993</v>
      </c>
      <c r="N950">
        <v>99.49</v>
      </c>
      <c r="O950">
        <v>1</v>
      </c>
      <c r="P950">
        <v>1</v>
      </c>
      <c r="R950" t="s">
        <v>23</v>
      </c>
      <c r="S950" t="s">
        <v>24</v>
      </c>
      <c r="T950" t="s">
        <v>316</v>
      </c>
    </row>
    <row r="951" spans="1:20" x14ac:dyDescent="0.25">
      <c r="A951">
        <v>50</v>
      </c>
      <c r="B951" t="str">
        <f>HYPERLINK("https://imapinvasives.natureserve.org/imap/services/page/Presence/1441439.html", "View")</f>
        <v>View</v>
      </c>
      <c r="C951">
        <v>1441439</v>
      </c>
      <c r="D951">
        <v>1455897</v>
      </c>
      <c r="E951" t="str">
        <f>HYPERLINK("http://imap3images.s3-website-us-east-1.amazonaws.com/1455897/p/20240818_153133.jpg", "View")</f>
        <v>View</v>
      </c>
      <c r="F951" t="s">
        <v>266</v>
      </c>
      <c r="G951" t="s">
        <v>267</v>
      </c>
      <c r="H951">
        <v>324726</v>
      </c>
      <c r="I951" t="str">
        <f t="shared" si="42"/>
        <v>View</v>
      </c>
      <c r="J951" t="s">
        <v>266</v>
      </c>
      <c r="K951" t="s">
        <v>268</v>
      </c>
      <c r="L951">
        <v>324726</v>
      </c>
      <c r="M951">
        <v>76.7</v>
      </c>
      <c r="N951">
        <v>99.96</v>
      </c>
      <c r="O951">
        <v>1</v>
      </c>
      <c r="P951">
        <v>1</v>
      </c>
      <c r="R951" t="s">
        <v>23</v>
      </c>
      <c r="S951" t="s">
        <v>24</v>
      </c>
      <c r="T951" t="s">
        <v>316</v>
      </c>
    </row>
    <row r="952" spans="1:20" x14ac:dyDescent="0.25">
      <c r="A952">
        <v>51</v>
      </c>
      <c r="B952" t="str">
        <f>HYPERLINK("https://imapinvasives.natureserve.org/imap/services/page/Presence/1350523.html", "View")</f>
        <v>View</v>
      </c>
      <c r="C952">
        <v>1350523</v>
      </c>
      <c r="D952">
        <v>1367494</v>
      </c>
      <c r="E952" t="str">
        <f>HYPERLINK("http://imap3images.s3-website-us-east-1.amazonaws.com/1367494/p/imap_app_photo_1693249326596.jpg", "View")</f>
        <v>View</v>
      </c>
      <c r="F952" t="s">
        <v>266</v>
      </c>
      <c r="G952" t="s">
        <v>267</v>
      </c>
      <c r="H952">
        <v>324726</v>
      </c>
      <c r="I952" t="str">
        <f t="shared" si="42"/>
        <v>View</v>
      </c>
      <c r="J952" t="s">
        <v>266</v>
      </c>
      <c r="K952" t="s">
        <v>268</v>
      </c>
      <c r="L952">
        <v>324726</v>
      </c>
      <c r="M952">
        <v>57.71</v>
      </c>
      <c r="N952">
        <v>99.95</v>
      </c>
      <c r="O952">
        <v>1</v>
      </c>
      <c r="P952">
        <v>1</v>
      </c>
      <c r="R952" t="s">
        <v>23</v>
      </c>
      <c r="S952" t="s">
        <v>24</v>
      </c>
      <c r="T952" t="s">
        <v>316</v>
      </c>
    </row>
    <row r="953" spans="1:20" x14ac:dyDescent="0.25">
      <c r="A953">
        <v>52</v>
      </c>
      <c r="B953" t="str">
        <f>HYPERLINK("https://imapinvasives.natureserve.org/imap/services/page/Presence/1163825.html", "View")</f>
        <v>View</v>
      </c>
      <c r="C953">
        <v>1163825</v>
      </c>
      <c r="D953">
        <v>1171047</v>
      </c>
      <c r="E953" t="str">
        <f>HYPERLINK("http://imap3images.s3-website-us-east-1.amazonaws.com/1171047/p/inat_photo_157646396.jpg", "View")</f>
        <v>View</v>
      </c>
      <c r="F953" t="s">
        <v>266</v>
      </c>
      <c r="G953" t="s">
        <v>267</v>
      </c>
      <c r="H953">
        <v>324726</v>
      </c>
      <c r="I953" t="str">
        <f t="shared" si="42"/>
        <v>View</v>
      </c>
      <c r="J953" t="s">
        <v>266</v>
      </c>
      <c r="K953" t="s">
        <v>268</v>
      </c>
      <c r="L953">
        <v>324726</v>
      </c>
      <c r="M953">
        <v>89.66</v>
      </c>
      <c r="N953">
        <v>99.95</v>
      </c>
      <c r="O953">
        <v>1</v>
      </c>
      <c r="P953">
        <v>1</v>
      </c>
      <c r="R953" t="s">
        <v>23</v>
      </c>
      <c r="S953" t="s">
        <v>24</v>
      </c>
      <c r="T953" t="s">
        <v>316</v>
      </c>
    </row>
    <row r="954" spans="1:20" x14ac:dyDescent="0.25">
      <c r="A954">
        <v>53</v>
      </c>
      <c r="B954" t="str">
        <f>HYPERLINK("https://imapinvasives.natureserve.org/imap/services/page/Presence/1298779.html", "View")</f>
        <v>View</v>
      </c>
      <c r="C954">
        <v>1298779</v>
      </c>
      <c r="D954">
        <v>1309102</v>
      </c>
      <c r="E954" t="str">
        <f>HYPERLINK("http://imap3images.s3-website-us-east-1.amazonaws.com/1309102/p/10-6-2022_SLFinTrap-2.jpg", "View")</f>
        <v>View</v>
      </c>
      <c r="F954" t="s">
        <v>266</v>
      </c>
      <c r="G954" t="s">
        <v>267</v>
      </c>
      <c r="H954">
        <v>324726</v>
      </c>
      <c r="I954" t="str">
        <f>HYPERLINK("https://www.inaturalist.org/taxa/62045-Lygaeus-kalmii", "View")</f>
        <v>View</v>
      </c>
      <c r="J954" t="s">
        <v>275</v>
      </c>
      <c r="K954" t="s">
        <v>276</v>
      </c>
      <c r="L954">
        <v>62045</v>
      </c>
      <c r="M954">
        <v>65.5</v>
      </c>
      <c r="N954">
        <v>20.54</v>
      </c>
      <c r="O954">
        <v>1</v>
      </c>
      <c r="P954">
        <v>0</v>
      </c>
      <c r="R954" t="s">
        <v>29</v>
      </c>
      <c r="S954" t="s">
        <v>33</v>
      </c>
      <c r="T954" t="s">
        <v>317</v>
      </c>
    </row>
    <row r="955" spans="1:20" x14ac:dyDescent="0.25">
      <c r="A955">
        <v>54</v>
      </c>
      <c r="B955" t="str">
        <f>HYPERLINK("https://imapinvasives.natureserve.org/imap/services/page/Presence/1165050.html", "View")</f>
        <v>View</v>
      </c>
      <c r="C955">
        <v>1165050</v>
      </c>
      <c r="D955">
        <v>1172309</v>
      </c>
      <c r="E955" t="str">
        <f>HYPERLINK("http://imap3images.s3-website-us-east-1.amazonaws.com/1172309/p/inat_photo_159651539.jpg", "View")</f>
        <v>View</v>
      </c>
      <c r="F955" t="s">
        <v>266</v>
      </c>
      <c r="G955" t="s">
        <v>267</v>
      </c>
      <c r="H955">
        <v>324726</v>
      </c>
      <c r="I955" t="str">
        <f t="shared" ref="I955:I964" si="43">HYPERLINK("https://www.inaturalist.org/taxa/324726-Lycorma-delicatula", "View")</f>
        <v>View</v>
      </c>
      <c r="J955" t="s">
        <v>266</v>
      </c>
      <c r="K955" t="s">
        <v>268</v>
      </c>
      <c r="L955">
        <v>324726</v>
      </c>
      <c r="M955">
        <v>81.28</v>
      </c>
      <c r="N955">
        <v>99.95</v>
      </c>
      <c r="O955">
        <v>1</v>
      </c>
      <c r="P955">
        <v>1</v>
      </c>
      <c r="R955" t="s">
        <v>23</v>
      </c>
      <c r="S955" t="s">
        <v>24</v>
      </c>
      <c r="T955" t="s">
        <v>316</v>
      </c>
    </row>
    <row r="956" spans="1:20" x14ac:dyDescent="0.25">
      <c r="A956">
        <v>55</v>
      </c>
      <c r="B956" t="str">
        <f>HYPERLINK("https://imapinvasives.natureserve.org/imap/services/page/Presence/1286074.html", "View")</f>
        <v>View</v>
      </c>
      <c r="C956">
        <v>1286074</v>
      </c>
      <c r="D956">
        <v>1295797</v>
      </c>
      <c r="E956" t="str">
        <f>HYPERLINK("http://imap3images.s3-website-us-east-1.amazonaws.com/1295797/p/487BCEB5-DFDC-424D-9EE5-8C621C69D244.jpeg", "View")</f>
        <v>View</v>
      </c>
      <c r="F956" t="s">
        <v>266</v>
      </c>
      <c r="G956" t="s">
        <v>267</v>
      </c>
      <c r="H956">
        <v>324726</v>
      </c>
      <c r="I956" t="str">
        <f t="shared" si="43"/>
        <v>View</v>
      </c>
      <c r="J956" t="s">
        <v>266</v>
      </c>
      <c r="K956" t="s">
        <v>268</v>
      </c>
      <c r="L956">
        <v>324726</v>
      </c>
      <c r="M956">
        <v>81.28</v>
      </c>
      <c r="N956">
        <v>99.95</v>
      </c>
      <c r="O956">
        <v>1</v>
      </c>
      <c r="P956">
        <v>1</v>
      </c>
      <c r="R956" t="s">
        <v>23</v>
      </c>
      <c r="S956" t="s">
        <v>24</v>
      </c>
      <c r="T956" t="s">
        <v>316</v>
      </c>
    </row>
    <row r="957" spans="1:20" x14ac:dyDescent="0.25">
      <c r="A957">
        <v>56</v>
      </c>
      <c r="B957" t="str">
        <f>HYPERLINK("https://imapinvasives.natureserve.org/imap/services/page/Presence/1163027.html", "View")</f>
        <v>View</v>
      </c>
      <c r="C957">
        <v>1163027</v>
      </c>
      <c r="D957">
        <v>1170206</v>
      </c>
      <c r="E957" t="str">
        <f>HYPERLINK("http://imap3images.s3-website-us-east-1.amazonaws.com/1170206/p/inat_photo_156148048.jpg", "View")</f>
        <v>View</v>
      </c>
      <c r="F957" t="s">
        <v>266</v>
      </c>
      <c r="G957" t="s">
        <v>267</v>
      </c>
      <c r="H957">
        <v>324726</v>
      </c>
      <c r="I957" t="str">
        <f t="shared" si="43"/>
        <v>View</v>
      </c>
      <c r="J957" t="s">
        <v>266</v>
      </c>
      <c r="K957" t="s">
        <v>268</v>
      </c>
      <c r="L957">
        <v>324726</v>
      </c>
      <c r="M957">
        <v>81.28</v>
      </c>
      <c r="N957">
        <v>99.72</v>
      </c>
      <c r="O957">
        <v>1</v>
      </c>
      <c r="P957">
        <v>1</v>
      </c>
      <c r="R957" t="s">
        <v>23</v>
      </c>
      <c r="S957" t="s">
        <v>24</v>
      </c>
      <c r="T957" t="s">
        <v>316</v>
      </c>
    </row>
    <row r="958" spans="1:20" x14ac:dyDescent="0.25">
      <c r="A958">
        <v>57</v>
      </c>
      <c r="B958" t="str">
        <f>HYPERLINK("https://imapinvasives.natureserve.org/imap/services/page/Presence/1163961.html", "View")</f>
        <v>View</v>
      </c>
      <c r="C958">
        <v>1163961</v>
      </c>
      <c r="D958">
        <v>1171191</v>
      </c>
      <c r="E958" t="str">
        <f>HYPERLINK("http://imap3images.s3-website-us-east-1.amazonaws.com/1171191/p/inat_photo_157786152.jpg", "View")</f>
        <v>View</v>
      </c>
      <c r="F958" t="s">
        <v>266</v>
      </c>
      <c r="G958" t="s">
        <v>267</v>
      </c>
      <c r="H958">
        <v>324726</v>
      </c>
      <c r="I958" t="str">
        <f t="shared" si="43"/>
        <v>View</v>
      </c>
      <c r="J958" t="s">
        <v>266</v>
      </c>
      <c r="K958" t="s">
        <v>268</v>
      </c>
      <c r="L958">
        <v>324726</v>
      </c>
      <c r="M958">
        <v>81.28</v>
      </c>
      <c r="N958">
        <v>99.89</v>
      </c>
      <c r="O958">
        <v>1</v>
      </c>
      <c r="P958">
        <v>1</v>
      </c>
      <c r="R958" t="s">
        <v>23</v>
      </c>
      <c r="S958" t="s">
        <v>24</v>
      </c>
      <c r="T958" t="s">
        <v>316</v>
      </c>
    </row>
    <row r="959" spans="1:20" x14ac:dyDescent="0.25">
      <c r="A959">
        <v>58</v>
      </c>
      <c r="B959" t="str">
        <f>HYPERLINK("https://imapinvasives.natureserve.org/imap/services/page/Presence/1339539.html", "View")</f>
        <v>View</v>
      </c>
      <c r="C959">
        <v>1339539</v>
      </c>
      <c r="D959">
        <v>1354446</v>
      </c>
      <c r="E959" t="str">
        <f>HYPERLINK("http://imap3images.s3-website-us-east-1.amazonaws.com/1354446/p/imap_app_photo_1688930941849.jpg", "View")</f>
        <v>View</v>
      </c>
      <c r="F959" t="s">
        <v>266</v>
      </c>
      <c r="G959" t="s">
        <v>267</v>
      </c>
      <c r="H959">
        <v>324726</v>
      </c>
      <c r="I959" t="str">
        <f t="shared" si="43"/>
        <v>View</v>
      </c>
      <c r="J959" t="s">
        <v>266</v>
      </c>
      <c r="K959" t="s">
        <v>268</v>
      </c>
      <c r="L959">
        <v>324726</v>
      </c>
      <c r="M959">
        <v>89.66</v>
      </c>
      <c r="N959">
        <v>99.95</v>
      </c>
      <c r="O959">
        <v>1</v>
      </c>
      <c r="P959">
        <v>1</v>
      </c>
      <c r="R959" t="s">
        <v>23</v>
      </c>
      <c r="S959" t="s">
        <v>24</v>
      </c>
      <c r="T959" t="s">
        <v>316</v>
      </c>
    </row>
    <row r="960" spans="1:20" x14ac:dyDescent="0.25">
      <c r="A960">
        <v>59</v>
      </c>
      <c r="B960" t="str">
        <f>HYPERLINK("https://imapinvasives.natureserve.org/imap/services/page/Presence/1285215.html", "View")</f>
        <v>View</v>
      </c>
      <c r="C960">
        <v>1285215</v>
      </c>
      <c r="D960">
        <v>1294850</v>
      </c>
      <c r="E960" t="str">
        <f>HYPERLINK("http://imap3images.s3-website-us-east-1.amazonaws.com/1294850/p/inat_photo_219500769.jpg", "View")</f>
        <v>View</v>
      </c>
      <c r="F960" t="s">
        <v>266</v>
      </c>
      <c r="G960" t="s">
        <v>267</v>
      </c>
      <c r="H960">
        <v>324726</v>
      </c>
      <c r="I960" t="str">
        <f t="shared" si="43"/>
        <v>View</v>
      </c>
      <c r="J960" t="s">
        <v>266</v>
      </c>
      <c r="K960" t="s">
        <v>268</v>
      </c>
      <c r="L960">
        <v>324726</v>
      </c>
      <c r="M960">
        <v>81.28</v>
      </c>
      <c r="N960">
        <v>98.86</v>
      </c>
      <c r="O960">
        <v>1</v>
      </c>
      <c r="P960">
        <v>1</v>
      </c>
      <c r="R960" t="s">
        <v>23</v>
      </c>
      <c r="S960" t="s">
        <v>24</v>
      </c>
      <c r="T960" t="s">
        <v>316</v>
      </c>
    </row>
    <row r="961" spans="1:20" x14ac:dyDescent="0.25">
      <c r="A961">
        <v>60</v>
      </c>
      <c r="B961" t="str">
        <f>HYPERLINK("https://imapinvasives.natureserve.org/imap/services/page/Presence/1163227.html", "View")</f>
        <v>View</v>
      </c>
      <c r="C961">
        <v>1163227</v>
      </c>
      <c r="D961">
        <v>1170409</v>
      </c>
      <c r="E961" t="str">
        <f>HYPERLINK("http://imap3images.s3-website-us-east-1.amazonaws.com/1170409/p/inat_photo_156389336.jpg", "View")</f>
        <v>View</v>
      </c>
      <c r="F961" t="s">
        <v>266</v>
      </c>
      <c r="G961" t="s">
        <v>267</v>
      </c>
      <c r="H961">
        <v>324726</v>
      </c>
      <c r="I961" t="str">
        <f t="shared" si="43"/>
        <v>View</v>
      </c>
      <c r="J961" t="s">
        <v>266</v>
      </c>
      <c r="K961" t="s">
        <v>268</v>
      </c>
      <c r="L961">
        <v>324726</v>
      </c>
      <c r="M961">
        <v>89.66</v>
      </c>
      <c r="N961">
        <v>98.8</v>
      </c>
      <c r="O961">
        <v>1</v>
      </c>
      <c r="P961">
        <v>1</v>
      </c>
      <c r="R961" t="s">
        <v>23</v>
      </c>
      <c r="S961" t="s">
        <v>24</v>
      </c>
      <c r="T961" t="s">
        <v>316</v>
      </c>
    </row>
    <row r="962" spans="1:20" x14ac:dyDescent="0.25">
      <c r="A962">
        <v>61</v>
      </c>
      <c r="B962" t="str">
        <f>HYPERLINK("https://imapinvasives.natureserve.org/imap/services/page/Presence/1355024.html", "View")</f>
        <v>View</v>
      </c>
      <c r="C962">
        <v>1355024</v>
      </c>
      <c r="D962">
        <v>1372656</v>
      </c>
      <c r="E962" t="str">
        <f>HYPERLINK("http://imap3images.s3-website-us-east-1.amazonaws.com/1372656/p/AA2968DC-50D3-4CE7-9885-3CFEE4336599.jpeg", "View")</f>
        <v>View</v>
      </c>
      <c r="F962" t="s">
        <v>266</v>
      </c>
      <c r="G962" t="s">
        <v>267</v>
      </c>
      <c r="H962">
        <v>324726</v>
      </c>
      <c r="I962" t="str">
        <f t="shared" si="43"/>
        <v>View</v>
      </c>
      <c r="J962" t="s">
        <v>266</v>
      </c>
      <c r="K962" t="s">
        <v>268</v>
      </c>
      <c r="L962">
        <v>324726</v>
      </c>
      <c r="M962">
        <v>81.28</v>
      </c>
      <c r="N962">
        <v>100</v>
      </c>
      <c r="O962">
        <v>1</v>
      </c>
      <c r="P962">
        <v>1</v>
      </c>
      <c r="R962" t="s">
        <v>23</v>
      </c>
      <c r="S962" t="s">
        <v>24</v>
      </c>
      <c r="T962" t="s">
        <v>316</v>
      </c>
    </row>
    <row r="963" spans="1:20" x14ac:dyDescent="0.25">
      <c r="A963">
        <v>62</v>
      </c>
      <c r="B963" t="str">
        <f>HYPERLINK("https://imapinvasives.natureserve.org/imap/services/page/Presence/1335248.html", "View")</f>
        <v>View</v>
      </c>
      <c r="C963">
        <v>1335248</v>
      </c>
      <c r="D963">
        <v>1349525</v>
      </c>
      <c r="E963" t="str">
        <f>HYPERLINK("http://imap3images.s3-website-us-east-1.amazonaws.com/1349525/p/inat_photo_286712731.jpg", "View")</f>
        <v>View</v>
      </c>
      <c r="F963" t="s">
        <v>266</v>
      </c>
      <c r="G963" t="s">
        <v>267</v>
      </c>
      <c r="H963">
        <v>324726</v>
      </c>
      <c r="I963" t="str">
        <f t="shared" si="43"/>
        <v>View</v>
      </c>
      <c r="J963" t="s">
        <v>266</v>
      </c>
      <c r="K963" t="s">
        <v>268</v>
      </c>
      <c r="L963">
        <v>324726</v>
      </c>
      <c r="M963">
        <v>81.28</v>
      </c>
      <c r="N963">
        <v>92.84</v>
      </c>
      <c r="O963">
        <v>1</v>
      </c>
      <c r="P963">
        <v>1</v>
      </c>
      <c r="R963" t="s">
        <v>23</v>
      </c>
      <c r="S963" t="s">
        <v>24</v>
      </c>
      <c r="T963" t="s">
        <v>316</v>
      </c>
    </row>
    <row r="964" spans="1:20" x14ac:dyDescent="0.25">
      <c r="A964">
        <v>63</v>
      </c>
      <c r="B964" t="str">
        <f>HYPERLINK("https://imapinvasives.natureserve.org/imap/services/page/Presence/1160765.html", "View")</f>
        <v>View</v>
      </c>
      <c r="C964">
        <v>1160765</v>
      </c>
      <c r="D964">
        <v>1167904</v>
      </c>
      <c r="E964" t="str">
        <f>HYPERLINK("http://imap3images.s3-website-us-east-1.amazonaws.com/1167904/p/inat_photo_153741920.jpg", "View")</f>
        <v>View</v>
      </c>
      <c r="F964" t="s">
        <v>266</v>
      </c>
      <c r="G964" t="s">
        <v>267</v>
      </c>
      <c r="H964">
        <v>324726</v>
      </c>
      <c r="I964" t="str">
        <f t="shared" si="43"/>
        <v>View</v>
      </c>
      <c r="J964" t="s">
        <v>266</v>
      </c>
      <c r="K964" t="s">
        <v>268</v>
      </c>
      <c r="L964">
        <v>324726</v>
      </c>
      <c r="M964">
        <v>89.66</v>
      </c>
      <c r="N964">
        <v>99.5</v>
      </c>
      <c r="O964">
        <v>1</v>
      </c>
      <c r="P964">
        <v>1</v>
      </c>
      <c r="R964" t="s">
        <v>23</v>
      </c>
      <c r="S964" t="s">
        <v>24</v>
      </c>
      <c r="T964" t="s">
        <v>316</v>
      </c>
    </row>
    <row r="965" spans="1:20" x14ac:dyDescent="0.25">
      <c r="A965">
        <v>64</v>
      </c>
      <c r="B965" t="str">
        <f>HYPERLINK("https://imapinvasives.natureserve.org/imap/services/page/Presence/1355273.html", "View")</f>
        <v>View</v>
      </c>
      <c r="C965">
        <v>1355273</v>
      </c>
      <c r="D965">
        <v>1372905</v>
      </c>
      <c r="E965" t="str">
        <f>HYPERLINK("http://imap3images.s3-website-us-east-1.amazonaws.com/1372905/p/20230824_140509.jpg", "View")</f>
        <v>View</v>
      </c>
      <c r="F965" t="s">
        <v>266</v>
      </c>
      <c r="G965" t="s">
        <v>267</v>
      </c>
      <c r="H965">
        <v>324726</v>
      </c>
      <c r="I965" t="str">
        <f>HYPERLINK("https://www.inaturalist.org/taxa/49884-Betula-populifolia", "View")</f>
        <v>View</v>
      </c>
      <c r="J965" t="s">
        <v>60</v>
      </c>
      <c r="K965" t="s">
        <v>61</v>
      </c>
      <c r="L965">
        <v>49884</v>
      </c>
      <c r="M965">
        <v>52.07</v>
      </c>
      <c r="N965">
        <v>13.82</v>
      </c>
      <c r="O965">
        <v>0</v>
      </c>
      <c r="P965">
        <v>0</v>
      </c>
      <c r="R965" t="s">
        <v>40</v>
      </c>
      <c r="S965" t="s">
        <v>39</v>
      </c>
      <c r="T965" t="s">
        <v>317</v>
      </c>
    </row>
    <row r="966" spans="1:20" x14ac:dyDescent="0.25">
      <c r="A966">
        <v>65</v>
      </c>
      <c r="B966" t="str">
        <f>HYPERLINK("https://imapinvasives.natureserve.org/imap/services/page/Presence/1167665.html", "View")</f>
        <v>View</v>
      </c>
      <c r="C966">
        <v>1167665</v>
      </c>
      <c r="D966">
        <v>1175125</v>
      </c>
      <c r="E966" t="str">
        <f>HYPERLINK("http://imap3images.s3-website-us-east-1.amazonaws.com/1175125/p/imap_app_photo_1633636094970.jpg", "View")</f>
        <v>View</v>
      </c>
      <c r="F966" t="s">
        <v>266</v>
      </c>
      <c r="G966" t="s">
        <v>267</v>
      </c>
      <c r="H966">
        <v>324726</v>
      </c>
      <c r="I966" t="str">
        <f t="shared" ref="I966:I980" si="44">HYPERLINK("https://www.inaturalist.org/taxa/324726-Lycorma-delicatula", "View")</f>
        <v>View</v>
      </c>
      <c r="J966" t="s">
        <v>266</v>
      </c>
      <c r="K966" t="s">
        <v>268</v>
      </c>
      <c r="L966">
        <v>324726</v>
      </c>
      <c r="M966">
        <v>89.66</v>
      </c>
      <c r="N966">
        <v>99.78</v>
      </c>
      <c r="O966">
        <v>1</v>
      </c>
      <c r="P966">
        <v>1</v>
      </c>
      <c r="R966" t="s">
        <v>23</v>
      </c>
      <c r="S966" t="s">
        <v>24</v>
      </c>
      <c r="T966" t="s">
        <v>316</v>
      </c>
    </row>
    <row r="967" spans="1:20" x14ac:dyDescent="0.25">
      <c r="A967">
        <v>66</v>
      </c>
      <c r="B967" t="str">
        <f>HYPERLINK("https://imapinvasives.natureserve.org/imap/services/page/Presence/1180273.html", "View")</f>
        <v>View</v>
      </c>
      <c r="C967">
        <v>1180273</v>
      </c>
      <c r="D967">
        <v>1188135</v>
      </c>
      <c r="E967" t="str">
        <f>HYPERLINK("http://imap3images.s3-website-us-east-1.amazonaws.com/1188135/p/imap_app_photo_1636601148890.jpg", "View")</f>
        <v>View</v>
      </c>
      <c r="F967" t="s">
        <v>266</v>
      </c>
      <c r="G967" t="s">
        <v>267</v>
      </c>
      <c r="H967">
        <v>324726</v>
      </c>
      <c r="I967" t="str">
        <f t="shared" si="44"/>
        <v>View</v>
      </c>
      <c r="J967" t="s">
        <v>266</v>
      </c>
      <c r="K967" t="s">
        <v>268</v>
      </c>
      <c r="L967">
        <v>324726</v>
      </c>
      <c r="M967">
        <v>61.19</v>
      </c>
      <c r="N967">
        <v>98.84</v>
      </c>
      <c r="O967">
        <v>1</v>
      </c>
      <c r="P967">
        <v>1</v>
      </c>
      <c r="R967" t="s">
        <v>23</v>
      </c>
      <c r="S967" t="s">
        <v>24</v>
      </c>
      <c r="T967" t="s">
        <v>316</v>
      </c>
    </row>
    <row r="968" spans="1:20" x14ac:dyDescent="0.25">
      <c r="A968">
        <v>67</v>
      </c>
      <c r="B968" t="str">
        <f>HYPERLINK("https://imapinvasives.natureserve.org/imap/services/page/Presence/1167641.html", "View")</f>
        <v>View</v>
      </c>
      <c r="C968">
        <v>1167641</v>
      </c>
      <c r="D968">
        <v>1175101</v>
      </c>
      <c r="E968" t="str">
        <f>HYPERLINK("http://imap3images.s3-website-us-east-1.amazonaws.com/1175101/p/inat_photo_161718345.jpg", "View")</f>
        <v>View</v>
      </c>
      <c r="F968" t="s">
        <v>266</v>
      </c>
      <c r="G968" t="s">
        <v>267</v>
      </c>
      <c r="H968">
        <v>324726</v>
      </c>
      <c r="I968" t="str">
        <f t="shared" si="44"/>
        <v>View</v>
      </c>
      <c r="J968" t="s">
        <v>266</v>
      </c>
      <c r="K968" t="s">
        <v>268</v>
      </c>
      <c r="L968">
        <v>324726</v>
      </c>
      <c r="M968">
        <v>89.66</v>
      </c>
      <c r="N968">
        <v>100</v>
      </c>
      <c r="O968">
        <v>1</v>
      </c>
      <c r="P968">
        <v>1</v>
      </c>
      <c r="R968" t="s">
        <v>23</v>
      </c>
      <c r="S968" t="s">
        <v>24</v>
      </c>
      <c r="T968" t="s">
        <v>316</v>
      </c>
    </row>
    <row r="969" spans="1:20" x14ac:dyDescent="0.25">
      <c r="A969">
        <v>68</v>
      </c>
      <c r="B969" t="str">
        <f>HYPERLINK("https://imapinvasives.natureserve.org/imap/services/page/Presence/1159064.html", "View")</f>
        <v>View</v>
      </c>
      <c r="C969">
        <v>1159064</v>
      </c>
      <c r="D969">
        <v>1166140</v>
      </c>
      <c r="E969" t="str">
        <f>HYPERLINK("http://imap3images.s3-website-us-east-1.amazonaws.com/1166140/p/inat_photo_150791850.jpg", "View")</f>
        <v>View</v>
      </c>
      <c r="F969" t="s">
        <v>266</v>
      </c>
      <c r="G969" t="s">
        <v>267</v>
      </c>
      <c r="H969">
        <v>324726</v>
      </c>
      <c r="I969" t="str">
        <f t="shared" si="44"/>
        <v>View</v>
      </c>
      <c r="J969" t="s">
        <v>266</v>
      </c>
      <c r="K969" t="s">
        <v>268</v>
      </c>
      <c r="L969">
        <v>324726</v>
      </c>
      <c r="M969">
        <v>89.66</v>
      </c>
      <c r="N969">
        <v>99.86</v>
      </c>
      <c r="O969">
        <v>1</v>
      </c>
      <c r="P969">
        <v>1</v>
      </c>
      <c r="R969" t="s">
        <v>23</v>
      </c>
      <c r="S969" t="s">
        <v>24</v>
      </c>
      <c r="T969" t="s">
        <v>316</v>
      </c>
    </row>
    <row r="970" spans="1:20" x14ac:dyDescent="0.25">
      <c r="A970">
        <v>69</v>
      </c>
      <c r="B970" t="str">
        <f>HYPERLINK("https://imapinvasives.natureserve.org/imap/services/page/Presence/1335743.html", "View")</f>
        <v>View</v>
      </c>
      <c r="C970">
        <v>1335743</v>
      </c>
      <c r="D970">
        <v>1350083</v>
      </c>
      <c r="E970" t="str">
        <f>HYPERLINK("http://imap3images.s3-website-us-east-1.amazonaws.com/1350083/p/imap_app_photo_1687217374594.jpg", "View")</f>
        <v>View</v>
      </c>
      <c r="F970" t="s">
        <v>266</v>
      </c>
      <c r="G970" t="s">
        <v>267</v>
      </c>
      <c r="H970">
        <v>324726</v>
      </c>
      <c r="I970" t="str">
        <f t="shared" si="44"/>
        <v>View</v>
      </c>
      <c r="J970" t="s">
        <v>266</v>
      </c>
      <c r="K970" t="s">
        <v>268</v>
      </c>
      <c r="L970">
        <v>324726</v>
      </c>
      <c r="M970">
        <v>64.569999999999993</v>
      </c>
      <c r="N970">
        <v>97.11</v>
      </c>
      <c r="O970">
        <v>1</v>
      </c>
      <c r="P970">
        <v>1</v>
      </c>
      <c r="R970" t="s">
        <v>23</v>
      </c>
      <c r="S970" t="s">
        <v>24</v>
      </c>
      <c r="T970" t="s">
        <v>316</v>
      </c>
    </row>
    <row r="971" spans="1:20" x14ac:dyDescent="0.25">
      <c r="A971">
        <v>70</v>
      </c>
      <c r="B971" t="str">
        <f>HYPERLINK("https://imapinvasives.natureserve.org/imap/services/page/Presence/1349168.html", "View")</f>
        <v>View</v>
      </c>
      <c r="C971">
        <v>1349168</v>
      </c>
      <c r="D971">
        <v>1366085</v>
      </c>
      <c r="E971" t="str">
        <f>HYPERLINK("http://imap3images.s3-website-us-east-1.amazonaws.com/1366085/p/imap_app_photo_1692721844529.jpg", "View")</f>
        <v>View</v>
      </c>
      <c r="F971" t="s">
        <v>266</v>
      </c>
      <c r="G971" t="s">
        <v>267</v>
      </c>
      <c r="H971">
        <v>324726</v>
      </c>
      <c r="I971" t="str">
        <f t="shared" si="44"/>
        <v>View</v>
      </c>
      <c r="J971" t="s">
        <v>266</v>
      </c>
      <c r="K971" t="s">
        <v>268</v>
      </c>
      <c r="L971">
        <v>324726</v>
      </c>
      <c r="M971">
        <v>89.66</v>
      </c>
      <c r="N971">
        <v>98.05</v>
      </c>
      <c r="O971">
        <v>1</v>
      </c>
      <c r="P971">
        <v>1</v>
      </c>
      <c r="R971" t="s">
        <v>23</v>
      </c>
      <c r="S971" t="s">
        <v>24</v>
      </c>
      <c r="T971" t="s">
        <v>316</v>
      </c>
    </row>
    <row r="972" spans="1:20" x14ac:dyDescent="0.25">
      <c r="A972">
        <v>71</v>
      </c>
      <c r="B972" t="str">
        <f>HYPERLINK("https://imapinvasives.natureserve.org/imap/services/page/Presence/1341175.html", "View")</f>
        <v>View</v>
      </c>
      <c r="C972">
        <v>1341175</v>
      </c>
      <c r="D972">
        <v>1356394</v>
      </c>
      <c r="E972" t="str">
        <f>HYPERLINK("http://imap3images.s3-website-us-east-1.amazonaws.com/1356394/p/20230714_103751.jpg", "View")</f>
        <v>View</v>
      </c>
      <c r="F972" t="s">
        <v>266</v>
      </c>
      <c r="G972" t="s">
        <v>267</v>
      </c>
      <c r="H972">
        <v>324726</v>
      </c>
      <c r="I972" t="str">
        <f t="shared" si="44"/>
        <v>View</v>
      </c>
      <c r="J972" t="s">
        <v>266</v>
      </c>
      <c r="K972" t="s">
        <v>268</v>
      </c>
      <c r="L972">
        <v>324726</v>
      </c>
      <c r="M972">
        <v>81.28</v>
      </c>
      <c r="N972">
        <v>99.77</v>
      </c>
      <c r="O972">
        <v>1</v>
      </c>
      <c r="P972">
        <v>1</v>
      </c>
      <c r="R972" t="s">
        <v>23</v>
      </c>
      <c r="S972" t="s">
        <v>24</v>
      </c>
      <c r="T972" t="s">
        <v>316</v>
      </c>
    </row>
    <row r="973" spans="1:20" x14ac:dyDescent="0.25">
      <c r="A973">
        <v>72</v>
      </c>
      <c r="B973" t="str">
        <f>HYPERLINK("https://imapinvasives.natureserve.org/imap/services/page/Presence/1285015.html", "View")</f>
        <v>View</v>
      </c>
      <c r="C973">
        <v>1285015</v>
      </c>
      <c r="D973">
        <v>1294596</v>
      </c>
      <c r="E973" t="str">
        <f>HYPERLINK("http://imap3images.s3-website-us-east-1.amazonaws.com/1294596/p/imap_app_photo_1659648673082.jpg", "View")</f>
        <v>View</v>
      </c>
      <c r="F973" t="s">
        <v>266</v>
      </c>
      <c r="G973" t="s">
        <v>267</v>
      </c>
      <c r="H973">
        <v>324726</v>
      </c>
      <c r="I973" t="str">
        <f t="shared" si="44"/>
        <v>View</v>
      </c>
      <c r="J973" t="s">
        <v>266</v>
      </c>
      <c r="K973" t="s">
        <v>268</v>
      </c>
      <c r="L973">
        <v>324726</v>
      </c>
      <c r="M973">
        <v>89.66</v>
      </c>
      <c r="N973">
        <v>99.43</v>
      </c>
      <c r="O973">
        <v>1</v>
      </c>
      <c r="P973">
        <v>1</v>
      </c>
      <c r="R973" t="s">
        <v>23</v>
      </c>
      <c r="S973" t="s">
        <v>24</v>
      </c>
      <c r="T973" t="s">
        <v>316</v>
      </c>
    </row>
    <row r="974" spans="1:20" x14ac:dyDescent="0.25">
      <c r="A974">
        <v>73</v>
      </c>
      <c r="B974" t="str">
        <f>HYPERLINK("https://imapinvasives.natureserve.org/imap/services/page/Presence/1434836.html", "View")</f>
        <v>View</v>
      </c>
      <c r="C974">
        <v>1434836</v>
      </c>
      <c r="D974">
        <v>1448526</v>
      </c>
      <c r="E974" t="str">
        <f>HYPERLINK("http://imap3images.s3-website-us-east-1.amazonaws.com/1448526/p/IMG_0932.jpeg", "View")</f>
        <v>View</v>
      </c>
      <c r="F974" t="s">
        <v>266</v>
      </c>
      <c r="G974" t="s">
        <v>267</v>
      </c>
      <c r="H974">
        <v>324726</v>
      </c>
      <c r="I974" t="str">
        <f t="shared" si="44"/>
        <v>View</v>
      </c>
      <c r="J974" t="s">
        <v>266</v>
      </c>
      <c r="K974" t="s">
        <v>268</v>
      </c>
      <c r="L974">
        <v>324726</v>
      </c>
      <c r="M974">
        <v>63.27</v>
      </c>
      <c r="N974">
        <v>99.95</v>
      </c>
      <c r="O974">
        <v>1</v>
      </c>
      <c r="P974">
        <v>1</v>
      </c>
      <c r="R974" t="s">
        <v>23</v>
      </c>
      <c r="S974" t="s">
        <v>24</v>
      </c>
      <c r="T974" t="s">
        <v>316</v>
      </c>
    </row>
    <row r="975" spans="1:20" x14ac:dyDescent="0.25">
      <c r="A975">
        <v>74</v>
      </c>
      <c r="B975" t="str">
        <f>HYPERLINK("https://imapinvasives.natureserve.org/imap/services/page/Presence/1164071.html", "View")</f>
        <v>View</v>
      </c>
      <c r="C975">
        <v>1164071</v>
      </c>
      <c r="D975">
        <v>1171302</v>
      </c>
      <c r="E975" t="str">
        <f>HYPERLINK("http://imap3images.s3-website-us-east-1.amazonaws.com/1171302/p/inat_photo_158108373.jpg", "View")</f>
        <v>View</v>
      </c>
      <c r="F975" t="s">
        <v>266</v>
      </c>
      <c r="G975" t="s">
        <v>267</v>
      </c>
      <c r="H975">
        <v>324726</v>
      </c>
      <c r="I975" t="str">
        <f t="shared" si="44"/>
        <v>View</v>
      </c>
      <c r="J975" t="s">
        <v>266</v>
      </c>
      <c r="K975" t="s">
        <v>268</v>
      </c>
      <c r="L975">
        <v>324726</v>
      </c>
      <c r="M975">
        <v>89.66</v>
      </c>
      <c r="N975">
        <v>99.65</v>
      </c>
      <c r="O975">
        <v>1</v>
      </c>
      <c r="P975">
        <v>1</v>
      </c>
      <c r="R975" t="s">
        <v>23</v>
      </c>
      <c r="S975" t="s">
        <v>24</v>
      </c>
      <c r="T975" t="s">
        <v>316</v>
      </c>
    </row>
    <row r="976" spans="1:20" x14ac:dyDescent="0.25">
      <c r="A976">
        <v>75</v>
      </c>
      <c r="B976" t="str">
        <f>HYPERLINK("https://imapinvasives.natureserve.org/imap/services/page/Presence/1434835.html", "View")</f>
        <v>View</v>
      </c>
      <c r="C976">
        <v>1434835</v>
      </c>
      <c r="D976">
        <v>1448525</v>
      </c>
      <c r="E976" t="str">
        <f>HYPERLINK("http://imap3images.s3-website-us-east-1.amazonaws.com/1448525/p/IMG_1145.jpeg", "View")</f>
        <v>View</v>
      </c>
      <c r="F976" t="s">
        <v>266</v>
      </c>
      <c r="G976" t="s">
        <v>267</v>
      </c>
      <c r="H976">
        <v>324726</v>
      </c>
      <c r="I976" t="str">
        <f t="shared" si="44"/>
        <v>View</v>
      </c>
      <c r="J976" t="s">
        <v>266</v>
      </c>
      <c r="K976" t="s">
        <v>268</v>
      </c>
      <c r="L976">
        <v>324726</v>
      </c>
      <c r="M976">
        <v>81.28</v>
      </c>
      <c r="N976">
        <v>99.83</v>
      </c>
      <c r="O976">
        <v>1</v>
      </c>
      <c r="P976">
        <v>1</v>
      </c>
      <c r="R976" t="s">
        <v>23</v>
      </c>
      <c r="S976" t="s">
        <v>24</v>
      </c>
      <c r="T976" t="s">
        <v>316</v>
      </c>
    </row>
    <row r="977" spans="1:20" x14ac:dyDescent="0.25">
      <c r="A977">
        <v>76</v>
      </c>
      <c r="B977" t="str">
        <f>HYPERLINK("https://imapinvasives.natureserve.org/imap/services/page/Presence/1249197.html", "View")</f>
        <v>View</v>
      </c>
      <c r="C977">
        <v>1249197</v>
      </c>
      <c r="D977">
        <v>1257352</v>
      </c>
      <c r="E977" t="str">
        <f>HYPERLINK("http://imap3images.s3-website-us-east-1.amazonaws.com/1257352/p/inat_photo_168382521.jpg", "View")</f>
        <v>View</v>
      </c>
      <c r="F977" t="s">
        <v>266</v>
      </c>
      <c r="G977" t="s">
        <v>267</v>
      </c>
      <c r="H977">
        <v>324726</v>
      </c>
      <c r="I977" t="str">
        <f t="shared" si="44"/>
        <v>View</v>
      </c>
      <c r="J977" t="s">
        <v>266</v>
      </c>
      <c r="K977" t="s">
        <v>268</v>
      </c>
      <c r="L977">
        <v>324726</v>
      </c>
      <c r="M977">
        <v>81.28</v>
      </c>
      <c r="N977">
        <v>92.36</v>
      </c>
      <c r="O977">
        <v>1</v>
      </c>
      <c r="P977">
        <v>1</v>
      </c>
      <c r="R977" t="s">
        <v>23</v>
      </c>
      <c r="S977" t="s">
        <v>24</v>
      </c>
      <c r="T977" t="s">
        <v>316</v>
      </c>
    </row>
    <row r="978" spans="1:20" x14ac:dyDescent="0.25">
      <c r="A978">
        <v>77</v>
      </c>
      <c r="B978" t="str">
        <f>HYPERLINK("https://imapinvasives.natureserve.org/imap/services/page/Presence/1160305.html", "View")</f>
        <v>View</v>
      </c>
      <c r="C978">
        <v>1160305</v>
      </c>
      <c r="D978">
        <v>1167416</v>
      </c>
      <c r="E978" t="str">
        <f>HYPERLINK("http://imap3images.s3-website-us-east-1.amazonaws.com/1167416/p/EB7E5656-126F-43CF-A804-380B8DC9B629.jpeg", "View")</f>
        <v>View</v>
      </c>
      <c r="F978" t="s">
        <v>266</v>
      </c>
      <c r="G978" t="s">
        <v>267</v>
      </c>
      <c r="H978">
        <v>324726</v>
      </c>
      <c r="I978" t="str">
        <f t="shared" si="44"/>
        <v>View</v>
      </c>
      <c r="J978" t="s">
        <v>266</v>
      </c>
      <c r="K978" t="s">
        <v>268</v>
      </c>
      <c r="L978">
        <v>324726</v>
      </c>
      <c r="M978">
        <v>81.28</v>
      </c>
      <c r="N978">
        <v>98.16</v>
      </c>
      <c r="O978">
        <v>1</v>
      </c>
      <c r="P978">
        <v>1</v>
      </c>
      <c r="R978" t="s">
        <v>23</v>
      </c>
      <c r="S978" t="s">
        <v>24</v>
      </c>
      <c r="T978" t="s">
        <v>316</v>
      </c>
    </row>
    <row r="979" spans="1:20" x14ac:dyDescent="0.25">
      <c r="A979">
        <v>78</v>
      </c>
      <c r="B979" t="str">
        <f>HYPERLINK("https://imapinvasives.natureserve.org/imap/services/page/Presence/1160807.html", "View")</f>
        <v>View</v>
      </c>
      <c r="C979">
        <v>1160807</v>
      </c>
      <c r="D979">
        <v>1167946</v>
      </c>
      <c r="E979" t="str">
        <f>HYPERLINK("http://imap3images.s3-website-us-east-1.amazonaws.com/1167946/p/inat_photo_154283710.jpg", "View")</f>
        <v>View</v>
      </c>
      <c r="F979" t="s">
        <v>266</v>
      </c>
      <c r="G979" t="s">
        <v>267</v>
      </c>
      <c r="H979">
        <v>324726</v>
      </c>
      <c r="I979" t="str">
        <f t="shared" si="44"/>
        <v>View</v>
      </c>
      <c r="J979" t="s">
        <v>266</v>
      </c>
      <c r="K979" t="s">
        <v>268</v>
      </c>
      <c r="L979">
        <v>324726</v>
      </c>
      <c r="M979">
        <v>81.28</v>
      </c>
      <c r="N979">
        <v>99.84</v>
      </c>
      <c r="O979">
        <v>1</v>
      </c>
      <c r="P979">
        <v>1</v>
      </c>
      <c r="R979" t="s">
        <v>23</v>
      </c>
      <c r="S979" t="s">
        <v>24</v>
      </c>
      <c r="T979" t="s">
        <v>316</v>
      </c>
    </row>
    <row r="980" spans="1:20" x14ac:dyDescent="0.25">
      <c r="A980">
        <v>79</v>
      </c>
      <c r="B980" t="str">
        <f>HYPERLINK("https://imapinvasives.natureserve.org/imap/services/page/Presence/1160224.html", "View")</f>
        <v>View</v>
      </c>
      <c r="C980">
        <v>1160224</v>
      </c>
      <c r="D980">
        <v>1167335</v>
      </c>
      <c r="E980" t="str">
        <f>HYPERLINK("http://imap3images.s3-website-us-east-1.amazonaws.com/1167335/p/Lantern_Flies.jpg", "View")</f>
        <v>View</v>
      </c>
      <c r="F980" t="s">
        <v>266</v>
      </c>
      <c r="G980" t="s">
        <v>267</v>
      </c>
      <c r="H980">
        <v>324726</v>
      </c>
      <c r="I980" t="str">
        <f t="shared" si="44"/>
        <v>View</v>
      </c>
      <c r="J980" t="s">
        <v>266</v>
      </c>
      <c r="K980" t="s">
        <v>268</v>
      </c>
      <c r="L980">
        <v>324726</v>
      </c>
      <c r="M980">
        <v>81.28</v>
      </c>
      <c r="N980">
        <v>99.97</v>
      </c>
      <c r="O980">
        <v>1</v>
      </c>
      <c r="P980">
        <v>1</v>
      </c>
      <c r="R980" t="s">
        <v>23</v>
      </c>
      <c r="S980" t="s">
        <v>33</v>
      </c>
      <c r="T980" t="s">
        <v>317</v>
      </c>
    </row>
    <row r="981" spans="1:20" x14ac:dyDescent="0.25">
      <c r="A981">
        <v>80</v>
      </c>
      <c r="B981" t="str">
        <f>HYPERLINK("https://imapinvasives.natureserve.org/imap/services/page/Presence/1355267.html", "View")</f>
        <v>View</v>
      </c>
      <c r="C981">
        <v>1355267</v>
      </c>
      <c r="D981">
        <v>1372899</v>
      </c>
      <c r="E981" t="str">
        <f>HYPERLINK("http://imap3images.s3-website-us-east-1.amazonaws.com/1372899/p/IMG_20230609_122652964.jpg", "View")</f>
        <v>View</v>
      </c>
      <c r="F981" t="s">
        <v>266</v>
      </c>
      <c r="G981" t="s">
        <v>267</v>
      </c>
      <c r="H981">
        <v>324726</v>
      </c>
      <c r="I981" t="str">
        <f>HYPERLINK("https://www.inaturalist.org/taxa/354898-Diplocarpon-rosae", "View")</f>
        <v>View</v>
      </c>
      <c r="J981" t="s">
        <v>277</v>
      </c>
      <c r="K981" t="s">
        <v>278</v>
      </c>
      <c r="L981">
        <v>354898</v>
      </c>
      <c r="M981">
        <v>15.91</v>
      </c>
      <c r="N981">
        <v>98.26</v>
      </c>
      <c r="O981">
        <v>0</v>
      </c>
      <c r="P981">
        <v>0</v>
      </c>
      <c r="R981" t="s">
        <v>29</v>
      </c>
      <c r="S981" t="s">
        <v>79</v>
      </c>
      <c r="T981" t="s">
        <v>317</v>
      </c>
    </row>
    <row r="982" spans="1:20" x14ac:dyDescent="0.25">
      <c r="A982">
        <v>81</v>
      </c>
      <c r="B982" t="str">
        <f>HYPERLINK("https://imapinvasives.natureserve.org/imap/services/page/Presence/1355577.html", "View")</f>
        <v>View</v>
      </c>
      <c r="C982">
        <v>1355577</v>
      </c>
      <c r="D982">
        <v>1373210</v>
      </c>
      <c r="E982" t="str">
        <f>HYPERLINK("http://imap3images.s3-website-us-east-1.amazonaws.com/1373210/p/imap_app_photo_1696534466107.jpg", "View")</f>
        <v>View</v>
      </c>
      <c r="F982" t="s">
        <v>266</v>
      </c>
      <c r="G982" t="s">
        <v>267</v>
      </c>
      <c r="H982">
        <v>324726</v>
      </c>
      <c r="I982" t="str">
        <f t="shared" ref="I982:I988" si="45">HYPERLINK("https://www.inaturalist.org/taxa/324726-Lycorma-delicatula", "View")</f>
        <v>View</v>
      </c>
      <c r="J982" t="s">
        <v>266</v>
      </c>
      <c r="K982" t="s">
        <v>268</v>
      </c>
      <c r="L982">
        <v>324726</v>
      </c>
      <c r="M982">
        <v>57.71</v>
      </c>
      <c r="N982">
        <v>99.87</v>
      </c>
      <c r="O982">
        <v>1</v>
      </c>
      <c r="P982">
        <v>1</v>
      </c>
      <c r="R982" t="s">
        <v>23</v>
      </c>
      <c r="S982" t="s">
        <v>24</v>
      </c>
      <c r="T982" t="s">
        <v>316</v>
      </c>
    </row>
    <row r="983" spans="1:20" x14ac:dyDescent="0.25">
      <c r="A983">
        <v>82</v>
      </c>
      <c r="B983" t="str">
        <f>HYPERLINK("https://imapinvasives.natureserve.org/imap/services/page/Presence/1159648.html", "View")</f>
        <v>View</v>
      </c>
      <c r="C983">
        <v>1159648</v>
      </c>
      <c r="D983">
        <v>1166747</v>
      </c>
      <c r="E983" t="str">
        <f>HYPERLINK("http://imap3images.s3-website-us-east-1.amazonaws.com/1166747/p/inat_photo_152073460.jpg", "View")</f>
        <v>View</v>
      </c>
      <c r="F983" t="s">
        <v>266</v>
      </c>
      <c r="G983" t="s">
        <v>267</v>
      </c>
      <c r="H983">
        <v>324726</v>
      </c>
      <c r="I983" t="str">
        <f t="shared" si="45"/>
        <v>View</v>
      </c>
      <c r="J983" t="s">
        <v>266</v>
      </c>
      <c r="K983" t="s">
        <v>268</v>
      </c>
      <c r="L983">
        <v>324726</v>
      </c>
      <c r="M983">
        <v>81.28</v>
      </c>
      <c r="N983">
        <v>99.96</v>
      </c>
      <c r="O983">
        <v>1</v>
      </c>
      <c r="P983">
        <v>1</v>
      </c>
      <c r="R983" t="s">
        <v>23</v>
      </c>
      <c r="S983" t="s">
        <v>24</v>
      </c>
      <c r="T983" t="s">
        <v>316</v>
      </c>
    </row>
    <row r="984" spans="1:20" x14ac:dyDescent="0.25">
      <c r="A984">
        <v>83</v>
      </c>
      <c r="B984" t="str">
        <f>HYPERLINK("https://imapinvasives.natureserve.org/imap/services/page/Presence/1160782.html", "View")</f>
        <v>View</v>
      </c>
      <c r="C984">
        <v>1160782</v>
      </c>
      <c r="D984">
        <v>1167921</v>
      </c>
      <c r="E984" t="str">
        <f>HYPERLINK("http://imap3images.s3-website-us-east-1.amazonaws.com/1167921/p/inat_photo_154078662.jpg", "View")</f>
        <v>View</v>
      </c>
      <c r="F984" t="s">
        <v>266</v>
      </c>
      <c r="G984" t="s">
        <v>267</v>
      </c>
      <c r="H984">
        <v>324726</v>
      </c>
      <c r="I984" t="str">
        <f t="shared" si="45"/>
        <v>View</v>
      </c>
      <c r="J984" t="s">
        <v>266</v>
      </c>
      <c r="K984" t="s">
        <v>268</v>
      </c>
      <c r="L984">
        <v>324726</v>
      </c>
      <c r="M984">
        <v>81.28</v>
      </c>
      <c r="N984">
        <v>99.84</v>
      </c>
      <c r="O984">
        <v>1</v>
      </c>
      <c r="P984">
        <v>1</v>
      </c>
      <c r="R984" t="s">
        <v>23</v>
      </c>
      <c r="S984" t="s">
        <v>24</v>
      </c>
      <c r="T984" t="s">
        <v>316</v>
      </c>
    </row>
    <row r="985" spans="1:20" x14ac:dyDescent="0.25">
      <c r="A985">
        <v>84</v>
      </c>
      <c r="B985" t="str">
        <f>HYPERLINK("https://imapinvasives.natureserve.org/imap/services/page/Presence/1069095.html", "View")</f>
        <v>View</v>
      </c>
      <c r="C985">
        <v>1069095</v>
      </c>
      <c r="D985">
        <v>1073946</v>
      </c>
      <c r="E985" t="str">
        <f>HYPERLINK("http://imap3images.s3-website-us-east-1.amazonaws.com/1073946/p/imap_app_photo_1600097331123.jpg", "View")</f>
        <v>View</v>
      </c>
      <c r="F985" t="s">
        <v>266</v>
      </c>
      <c r="G985" t="s">
        <v>267</v>
      </c>
      <c r="H985">
        <v>324726</v>
      </c>
      <c r="I985" t="str">
        <f t="shared" si="45"/>
        <v>View</v>
      </c>
      <c r="J985" t="s">
        <v>266</v>
      </c>
      <c r="K985" t="s">
        <v>268</v>
      </c>
      <c r="L985">
        <v>324726</v>
      </c>
      <c r="M985">
        <v>81.28</v>
      </c>
      <c r="N985">
        <v>99.81</v>
      </c>
      <c r="O985">
        <v>1</v>
      </c>
      <c r="P985">
        <v>1</v>
      </c>
      <c r="R985" t="s">
        <v>23</v>
      </c>
      <c r="S985" t="s">
        <v>24</v>
      </c>
      <c r="T985" t="s">
        <v>316</v>
      </c>
    </row>
    <row r="986" spans="1:20" x14ac:dyDescent="0.25">
      <c r="A986">
        <v>85</v>
      </c>
      <c r="B986" t="str">
        <f>HYPERLINK("https://imapinvasives.natureserve.org/imap/services/page/Presence/1355257.html", "View")</f>
        <v>View</v>
      </c>
      <c r="C986">
        <v>1355257</v>
      </c>
      <c r="D986">
        <v>1372889</v>
      </c>
      <c r="E986" t="str">
        <f>HYPERLINK("http://imap3images.s3-website-us-east-1.amazonaws.com/1372889/p/6BA1EA23-BFF7-4AC4-B273-898D5E0A9417.jpeg", "View")</f>
        <v>View</v>
      </c>
      <c r="F986" t="s">
        <v>266</v>
      </c>
      <c r="G986" t="s">
        <v>267</v>
      </c>
      <c r="H986">
        <v>324726</v>
      </c>
      <c r="I986" t="str">
        <f t="shared" si="45"/>
        <v>View</v>
      </c>
      <c r="J986" t="s">
        <v>266</v>
      </c>
      <c r="K986" t="s">
        <v>268</v>
      </c>
      <c r="L986">
        <v>324726</v>
      </c>
      <c r="M986">
        <v>89.66</v>
      </c>
      <c r="N986">
        <v>96.96</v>
      </c>
      <c r="O986">
        <v>1</v>
      </c>
      <c r="P986">
        <v>1</v>
      </c>
      <c r="R986" t="s">
        <v>23</v>
      </c>
      <c r="S986" t="s">
        <v>24</v>
      </c>
      <c r="T986" t="s">
        <v>316</v>
      </c>
    </row>
    <row r="987" spans="1:20" x14ac:dyDescent="0.25">
      <c r="A987">
        <v>86</v>
      </c>
      <c r="B987" t="str">
        <f>HYPERLINK("https://imapinvasives.natureserve.org/imap/services/page/Presence/1291782.html", "View")</f>
        <v>View</v>
      </c>
      <c r="C987">
        <v>1291782</v>
      </c>
      <c r="D987">
        <v>1301986</v>
      </c>
      <c r="E987" t="str">
        <f>HYPERLINK("http://imap3images.s3-website-us-east-1.amazonaws.com/1301986/p/inat_photo_229480548.jpg", "View")</f>
        <v>View</v>
      </c>
      <c r="F987" t="s">
        <v>266</v>
      </c>
      <c r="G987" t="s">
        <v>267</v>
      </c>
      <c r="H987">
        <v>324726</v>
      </c>
      <c r="I987" t="str">
        <f t="shared" si="45"/>
        <v>View</v>
      </c>
      <c r="J987" t="s">
        <v>266</v>
      </c>
      <c r="K987" t="s">
        <v>268</v>
      </c>
      <c r="L987">
        <v>324726</v>
      </c>
      <c r="M987">
        <v>64.569999999999993</v>
      </c>
      <c r="N987">
        <v>99.87</v>
      </c>
      <c r="O987">
        <v>1</v>
      </c>
      <c r="P987">
        <v>1</v>
      </c>
      <c r="R987" t="s">
        <v>23</v>
      </c>
      <c r="S987" t="s">
        <v>24</v>
      </c>
      <c r="T987" t="s">
        <v>316</v>
      </c>
    </row>
    <row r="988" spans="1:20" x14ac:dyDescent="0.25">
      <c r="A988">
        <v>87</v>
      </c>
      <c r="B988" t="str">
        <f>HYPERLINK("https://imapinvasives.natureserve.org/imap/services/page/Presence/1294025.html", "View")</f>
        <v>View</v>
      </c>
      <c r="C988">
        <v>1294025</v>
      </c>
      <c r="D988">
        <v>1304230</v>
      </c>
      <c r="E988" t="str">
        <f>HYPERLINK("http://imap3images.s3-website-us-east-1.amazonaws.com/1304230/p/imap_app_photo_1663293947960.jpg", "View")</f>
        <v>View</v>
      </c>
      <c r="F988" t="s">
        <v>266</v>
      </c>
      <c r="G988" t="s">
        <v>267</v>
      </c>
      <c r="H988">
        <v>324726</v>
      </c>
      <c r="I988" t="str">
        <f t="shared" si="45"/>
        <v>View</v>
      </c>
      <c r="J988" t="s">
        <v>266</v>
      </c>
      <c r="K988" t="s">
        <v>268</v>
      </c>
      <c r="L988">
        <v>324726</v>
      </c>
      <c r="M988">
        <v>2.6</v>
      </c>
      <c r="N988">
        <v>97.6</v>
      </c>
      <c r="O988">
        <v>1</v>
      </c>
      <c r="P988">
        <v>1</v>
      </c>
      <c r="R988" t="s">
        <v>23</v>
      </c>
      <c r="S988" t="s">
        <v>24</v>
      </c>
      <c r="T988" t="s">
        <v>316</v>
      </c>
    </row>
    <row r="989" spans="1:20" x14ac:dyDescent="0.25">
      <c r="A989">
        <v>88</v>
      </c>
      <c r="B989" t="str">
        <f>HYPERLINK("https://imapinvasives.natureserve.org/imap/services/page/Presence/1160519.html", "View")</f>
        <v>View</v>
      </c>
      <c r="C989">
        <v>1160519</v>
      </c>
      <c r="D989">
        <v>1167639</v>
      </c>
      <c r="E989" t="str">
        <f>HYPERLINK("http://imap3images.s3-website-us-east-1.amazonaws.com/1167639/p/imap_app_photo_1630285411787.jpg", "View")</f>
        <v>View</v>
      </c>
      <c r="F989" t="s">
        <v>266</v>
      </c>
      <c r="G989" t="s">
        <v>267</v>
      </c>
      <c r="H989">
        <v>324726</v>
      </c>
      <c r="I989" t="str">
        <f>HYPERLINK("https://www.inaturalist.org/taxa/57278-Ailanthus-altissima", "View")</f>
        <v>View</v>
      </c>
      <c r="J989" t="s">
        <v>279</v>
      </c>
      <c r="K989" t="s">
        <v>280</v>
      </c>
      <c r="L989">
        <v>57278</v>
      </c>
      <c r="M989">
        <v>62.54</v>
      </c>
      <c r="N989">
        <v>91.52</v>
      </c>
      <c r="O989">
        <v>0</v>
      </c>
      <c r="P989">
        <v>0</v>
      </c>
      <c r="R989" t="s">
        <v>40</v>
      </c>
      <c r="S989" t="s">
        <v>28</v>
      </c>
      <c r="T989" t="s">
        <v>317</v>
      </c>
    </row>
    <row r="990" spans="1:20" x14ac:dyDescent="0.25">
      <c r="A990">
        <v>89</v>
      </c>
      <c r="B990" t="str">
        <f>HYPERLINK("https://imapinvasives.natureserve.org/imap/services/page/Presence/1149736.html", "View")</f>
        <v>View</v>
      </c>
      <c r="C990">
        <v>1149736</v>
      </c>
      <c r="D990">
        <v>1156561</v>
      </c>
      <c r="E990" t="str">
        <f>HYPERLINK("http://imap3images.s3-website-us-east-1.amazonaws.com/1156561/p/inat_photo_141695178.jpg", "View")</f>
        <v>View</v>
      </c>
      <c r="F990" t="s">
        <v>266</v>
      </c>
      <c r="G990" t="s">
        <v>267</v>
      </c>
      <c r="H990">
        <v>324726</v>
      </c>
      <c r="I990" t="str">
        <f>HYPERLINK("https://www.inaturalist.org/taxa/324726-Lycorma-delicatula", "View")</f>
        <v>View</v>
      </c>
      <c r="J990" t="s">
        <v>266</v>
      </c>
      <c r="K990" t="s">
        <v>268</v>
      </c>
      <c r="L990">
        <v>324726</v>
      </c>
      <c r="M990">
        <v>89.66</v>
      </c>
      <c r="N990">
        <v>99.36</v>
      </c>
      <c r="O990">
        <v>1</v>
      </c>
      <c r="P990">
        <v>1</v>
      </c>
      <c r="R990" t="s">
        <v>23</v>
      </c>
      <c r="S990" t="s">
        <v>24</v>
      </c>
      <c r="T990" t="s">
        <v>316</v>
      </c>
    </row>
    <row r="991" spans="1:20" x14ac:dyDescent="0.25">
      <c r="A991">
        <v>90</v>
      </c>
      <c r="B991" t="str">
        <f>HYPERLINK("https://imapinvasives.natureserve.org/imap/services/page/Presence/1274013.html", "View")</f>
        <v>View</v>
      </c>
      <c r="C991">
        <v>1274013</v>
      </c>
      <c r="D991">
        <v>1283215</v>
      </c>
      <c r="E991" t="str">
        <f>HYPERLINK("http://imap3images.s3-website-us-east-1.amazonaws.com/1283215/p/20220609_082122.jpg", "View")</f>
        <v>View</v>
      </c>
      <c r="F991" t="s">
        <v>266</v>
      </c>
      <c r="G991" t="s">
        <v>267</v>
      </c>
      <c r="H991">
        <v>324726</v>
      </c>
      <c r="I991" t="str">
        <f>HYPERLINK("https://www.inaturalist.org/taxa/324726-Lycorma-delicatula", "View")</f>
        <v>View</v>
      </c>
      <c r="J991" t="s">
        <v>266</v>
      </c>
      <c r="K991" t="s">
        <v>268</v>
      </c>
      <c r="L991">
        <v>324726</v>
      </c>
      <c r="M991">
        <v>89.66</v>
      </c>
      <c r="N991">
        <v>94.04</v>
      </c>
      <c r="O991">
        <v>1</v>
      </c>
      <c r="P991">
        <v>1</v>
      </c>
      <c r="R991" t="s">
        <v>23</v>
      </c>
      <c r="S991" t="s">
        <v>24</v>
      </c>
      <c r="T991" t="s">
        <v>316</v>
      </c>
    </row>
    <row r="992" spans="1:20" x14ac:dyDescent="0.25">
      <c r="A992">
        <v>91</v>
      </c>
      <c r="B992" t="str">
        <f>HYPERLINK("https://imapinvasives.natureserve.org/imap/services/page/Presence/1443484.html", "View")</f>
        <v>View</v>
      </c>
      <c r="C992">
        <v>1443484</v>
      </c>
      <c r="D992">
        <v>1458110</v>
      </c>
      <c r="E992" t="str">
        <f>HYPERLINK("http://imap3images.s3-website-us-east-1.amazonaws.com/1458110/p/IMG_20240829_131428_(1).jpg", "View")</f>
        <v>View</v>
      </c>
      <c r="F992" t="s">
        <v>266</v>
      </c>
      <c r="G992" t="s">
        <v>267</v>
      </c>
      <c r="H992">
        <v>324726</v>
      </c>
      <c r="I992" t="str">
        <f>HYPERLINK("https://www.inaturalist.org/taxa/54763-Acer-platanoides", "View")</f>
        <v>View</v>
      </c>
      <c r="J992" t="s">
        <v>281</v>
      </c>
      <c r="K992" t="s">
        <v>282</v>
      </c>
      <c r="L992">
        <v>54763</v>
      </c>
      <c r="M992">
        <v>29.1</v>
      </c>
      <c r="N992">
        <v>56.99</v>
      </c>
      <c r="O992">
        <v>0</v>
      </c>
      <c r="P992">
        <v>0</v>
      </c>
      <c r="R992" t="s">
        <v>23</v>
      </c>
      <c r="S992" t="s">
        <v>24</v>
      </c>
      <c r="T992" t="s">
        <v>316</v>
      </c>
    </row>
    <row r="993" spans="1:20" x14ac:dyDescent="0.25">
      <c r="A993">
        <v>92</v>
      </c>
      <c r="B993" t="str">
        <f>HYPERLINK("https://imapinvasives.natureserve.org/imap/services/page/Presence/1167023.html", "View")</f>
        <v>View</v>
      </c>
      <c r="C993">
        <v>1167023</v>
      </c>
      <c r="D993">
        <v>1174351</v>
      </c>
      <c r="E993" t="str">
        <f>HYPERLINK("http://imap3images.s3-website-us-east-1.amazonaws.com/1174351/p/inat_photo_160871170.jpg", "View")</f>
        <v>View</v>
      </c>
      <c r="F993" t="s">
        <v>266</v>
      </c>
      <c r="G993" t="s">
        <v>267</v>
      </c>
      <c r="H993">
        <v>324726</v>
      </c>
      <c r="I993" t="str">
        <f t="shared" ref="I993:I1001" si="46">HYPERLINK("https://www.inaturalist.org/taxa/324726-Lycorma-delicatula", "View")</f>
        <v>View</v>
      </c>
      <c r="J993" t="s">
        <v>266</v>
      </c>
      <c r="K993" t="s">
        <v>268</v>
      </c>
      <c r="L993">
        <v>324726</v>
      </c>
      <c r="M993">
        <v>89.66</v>
      </c>
      <c r="N993">
        <v>99.39</v>
      </c>
      <c r="O993">
        <v>1</v>
      </c>
      <c r="P993">
        <v>1</v>
      </c>
      <c r="R993" t="s">
        <v>23</v>
      </c>
      <c r="S993" t="s">
        <v>24</v>
      </c>
      <c r="T993" t="s">
        <v>316</v>
      </c>
    </row>
    <row r="994" spans="1:20" x14ac:dyDescent="0.25">
      <c r="A994">
        <v>93</v>
      </c>
      <c r="B994" t="str">
        <f>HYPERLINK("https://imapinvasives.natureserve.org/imap/services/page/Presence/1416974.html", "View")</f>
        <v>View</v>
      </c>
      <c r="C994">
        <v>1416974</v>
      </c>
      <c r="D994">
        <v>1430621</v>
      </c>
      <c r="E994" t="str">
        <f>HYPERLINK("http://imap3images.s3-website-us-east-1.amazonaws.com/1430621/p/inat_photo_396880254.jpg", "View")</f>
        <v>View</v>
      </c>
      <c r="F994" t="s">
        <v>266</v>
      </c>
      <c r="G994" t="s">
        <v>267</v>
      </c>
      <c r="H994">
        <v>324726</v>
      </c>
      <c r="I994" t="str">
        <f t="shared" si="46"/>
        <v>View</v>
      </c>
      <c r="J994" t="s">
        <v>266</v>
      </c>
      <c r="K994" t="s">
        <v>268</v>
      </c>
      <c r="L994">
        <v>324726</v>
      </c>
      <c r="M994">
        <v>57.71</v>
      </c>
      <c r="N994">
        <v>99.93</v>
      </c>
      <c r="O994">
        <v>1</v>
      </c>
      <c r="P994">
        <v>1</v>
      </c>
      <c r="R994" t="s">
        <v>23</v>
      </c>
      <c r="S994" t="s">
        <v>24</v>
      </c>
      <c r="T994" t="s">
        <v>316</v>
      </c>
    </row>
    <row r="995" spans="1:20" x14ac:dyDescent="0.25">
      <c r="A995">
        <v>94</v>
      </c>
      <c r="B995" t="str">
        <f>HYPERLINK("https://imapinvasives.natureserve.org/imap/services/page/Presence/1416978.html", "View")</f>
        <v>View</v>
      </c>
      <c r="C995">
        <v>1416978</v>
      </c>
      <c r="D995">
        <v>1430625</v>
      </c>
      <c r="E995" t="str">
        <f>HYPERLINK("http://imap3images.s3-website-us-east-1.amazonaws.com/1430625/p/inat_photo_399797686.jpg", "View")</f>
        <v>View</v>
      </c>
      <c r="F995" t="s">
        <v>266</v>
      </c>
      <c r="G995" t="s">
        <v>267</v>
      </c>
      <c r="H995">
        <v>324726</v>
      </c>
      <c r="I995" t="str">
        <f t="shared" si="46"/>
        <v>View</v>
      </c>
      <c r="J995" t="s">
        <v>266</v>
      </c>
      <c r="K995" t="s">
        <v>268</v>
      </c>
      <c r="L995">
        <v>324726</v>
      </c>
      <c r="M995">
        <v>57.71</v>
      </c>
      <c r="N995">
        <v>99.85</v>
      </c>
      <c r="O995">
        <v>1</v>
      </c>
      <c r="P995">
        <v>1</v>
      </c>
      <c r="R995" t="s">
        <v>23</v>
      </c>
      <c r="S995" t="s">
        <v>24</v>
      </c>
      <c r="T995" t="s">
        <v>316</v>
      </c>
    </row>
    <row r="996" spans="1:20" x14ac:dyDescent="0.25">
      <c r="A996">
        <v>95</v>
      </c>
      <c r="B996" t="str">
        <f>HYPERLINK("https://imapinvasives.natureserve.org/imap/services/page/Presence/1298624.html", "View")</f>
        <v>View</v>
      </c>
      <c r="C996">
        <v>1298624</v>
      </c>
      <c r="D996">
        <v>1308944</v>
      </c>
      <c r="E996" t="str">
        <f>HYPERLINK("http://imap3images.s3-website-us-east-1.amazonaws.com/1308944/p/inat_photo_235752879.jpg", "View")</f>
        <v>View</v>
      </c>
      <c r="F996" t="s">
        <v>266</v>
      </c>
      <c r="G996" t="s">
        <v>267</v>
      </c>
      <c r="H996">
        <v>324726</v>
      </c>
      <c r="I996" t="str">
        <f t="shared" si="46"/>
        <v>View</v>
      </c>
      <c r="J996" t="s">
        <v>266</v>
      </c>
      <c r="K996" t="s">
        <v>268</v>
      </c>
      <c r="L996">
        <v>324726</v>
      </c>
      <c r="M996">
        <v>61.19</v>
      </c>
      <c r="N996">
        <v>99.79</v>
      </c>
      <c r="O996">
        <v>1</v>
      </c>
      <c r="P996">
        <v>1</v>
      </c>
      <c r="R996" t="s">
        <v>23</v>
      </c>
      <c r="S996" t="s">
        <v>24</v>
      </c>
      <c r="T996" t="s">
        <v>316</v>
      </c>
    </row>
    <row r="997" spans="1:20" x14ac:dyDescent="0.25">
      <c r="A997">
        <v>96</v>
      </c>
      <c r="B997" t="str">
        <f>HYPERLINK("https://imapinvasives.natureserve.org/imap/services/page/Presence/1442709.html", "View")</f>
        <v>View</v>
      </c>
      <c r="C997">
        <v>1442709</v>
      </c>
      <c r="D997">
        <v>1457284</v>
      </c>
      <c r="E997" t="str">
        <f>HYPERLINK("http://imap3images.s3-website-us-east-1.amazonaws.com/1457284/p/20240827_111523.jpg", "View")</f>
        <v>View</v>
      </c>
      <c r="F997" t="s">
        <v>266</v>
      </c>
      <c r="G997" t="s">
        <v>267</v>
      </c>
      <c r="H997">
        <v>324726</v>
      </c>
      <c r="I997" t="str">
        <f t="shared" si="46"/>
        <v>View</v>
      </c>
      <c r="J997" t="s">
        <v>266</v>
      </c>
      <c r="K997" t="s">
        <v>268</v>
      </c>
      <c r="L997">
        <v>324726</v>
      </c>
      <c r="M997">
        <v>30.04</v>
      </c>
      <c r="N997">
        <v>99.79</v>
      </c>
      <c r="O997">
        <v>1</v>
      </c>
      <c r="P997">
        <v>1</v>
      </c>
      <c r="R997" t="s">
        <v>23</v>
      </c>
      <c r="S997" t="s">
        <v>24</v>
      </c>
      <c r="T997" t="s">
        <v>316</v>
      </c>
    </row>
    <row r="998" spans="1:20" x14ac:dyDescent="0.25">
      <c r="A998">
        <v>97</v>
      </c>
      <c r="B998" t="str">
        <f>HYPERLINK("https://imapinvasives.natureserve.org/imap/services/page/Presence/1438795.html", "View")</f>
        <v>View</v>
      </c>
      <c r="C998">
        <v>1438795</v>
      </c>
      <c r="D998">
        <v>1453064</v>
      </c>
      <c r="E998" t="str">
        <f>HYPERLINK("http://imap3images.s3-website-us-east-1.amazonaws.com/1453064/p/imap_app_photo_1722951182425.jpg", "View")</f>
        <v>View</v>
      </c>
      <c r="F998" t="s">
        <v>266</v>
      </c>
      <c r="G998" t="s">
        <v>267</v>
      </c>
      <c r="H998">
        <v>324726</v>
      </c>
      <c r="I998" t="str">
        <f t="shared" si="46"/>
        <v>View</v>
      </c>
      <c r="J998" t="s">
        <v>266</v>
      </c>
      <c r="K998" t="s">
        <v>268</v>
      </c>
      <c r="L998">
        <v>324726</v>
      </c>
      <c r="M998">
        <v>57.71</v>
      </c>
      <c r="N998">
        <v>99.02</v>
      </c>
      <c r="O998">
        <v>1</v>
      </c>
      <c r="P998">
        <v>1</v>
      </c>
      <c r="R998" t="s">
        <v>23</v>
      </c>
      <c r="S998" t="s">
        <v>24</v>
      </c>
      <c r="T998" t="s">
        <v>316</v>
      </c>
    </row>
    <row r="999" spans="1:20" x14ac:dyDescent="0.25">
      <c r="A999">
        <v>98</v>
      </c>
      <c r="B999" t="str">
        <f>HYPERLINK("https://imapinvasives.natureserve.org/imap/services/page/Presence/1303355.html", "View")</f>
        <v>View</v>
      </c>
      <c r="C999">
        <v>1303355</v>
      </c>
      <c r="D999">
        <v>1313777</v>
      </c>
      <c r="E999" t="str">
        <f>HYPERLINK("http://imap3images.s3-website-us-east-1.amazonaws.com/1313777/p/SLF_Chester_10_28_2022.jpg", "View")</f>
        <v>View</v>
      </c>
      <c r="F999" t="s">
        <v>266</v>
      </c>
      <c r="G999" t="s">
        <v>267</v>
      </c>
      <c r="H999">
        <v>324726</v>
      </c>
      <c r="I999" t="str">
        <f t="shared" si="46"/>
        <v>View</v>
      </c>
      <c r="J999" t="s">
        <v>266</v>
      </c>
      <c r="K999" t="s">
        <v>268</v>
      </c>
      <c r="L999">
        <v>324726</v>
      </c>
      <c r="M999">
        <v>61.19</v>
      </c>
      <c r="N999">
        <v>98.98</v>
      </c>
      <c r="O999">
        <v>1</v>
      </c>
      <c r="P999">
        <v>1</v>
      </c>
      <c r="R999" t="s">
        <v>23</v>
      </c>
      <c r="S999" t="s">
        <v>24</v>
      </c>
      <c r="T999" t="s">
        <v>316</v>
      </c>
    </row>
    <row r="1000" spans="1:20" x14ac:dyDescent="0.25">
      <c r="A1000">
        <v>99</v>
      </c>
      <c r="B1000" t="str">
        <f>HYPERLINK("https://imapinvasives.natureserve.org/imap/services/page/Presence/1337561.html", "View")</f>
        <v>View</v>
      </c>
      <c r="C1000">
        <v>1337561</v>
      </c>
      <c r="D1000">
        <v>1352098</v>
      </c>
      <c r="E1000" t="str">
        <f>HYPERLINK("http://imap3images.s3-website-us-east-1.amazonaws.com/1352098/p/PXL_20230628_181219893.jpg", "View")</f>
        <v>View</v>
      </c>
      <c r="F1000" t="s">
        <v>266</v>
      </c>
      <c r="G1000" t="s">
        <v>267</v>
      </c>
      <c r="H1000">
        <v>324726</v>
      </c>
      <c r="I1000" t="str">
        <f t="shared" si="46"/>
        <v>View</v>
      </c>
      <c r="J1000" t="s">
        <v>266</v>
      </c>
      <c r="K1000" t="s">
        <v>268</v>
      </c>
      <c r="L1000">
        <v>324726</v>
      </c>
      <c r="M1000">
        <v>81.28</v>
      </c>
      <c r="N1000">
        <v>60.69</v>
      </c>
      <c r="O1000">
        <v>1</v>
      </c>
      <c r="P1000">
        <v>1</v>
      </c>
      <c r="R1000" t="s">
        <v>23</v>
      </c>
      <c r="S1000" t="s">
        <v>33</v>
      </c>
      <c r="T1000" t="s">
        <v>317</v>
      </c>
    </row>
    <row r="1001" spans="1:20" x14ac:dyDescent="0.25">
      <c r="A1001">
        <v>100</v>
      </c>
      <c r="B1001" t="str">
        <f>HYPERLINK("https://imapinvasives.natureserve.org/imap/services/page/Presence/1335781.html", "View")</f>
        <v>View</v>
      </c>
      <c r="C1001">
        <v>1335781</v>
      </c>
      <c r="D1001">
        <v>1350121</v>
      </c>
      <c r="E1001" t="str">
        <f>HYPERLINK("http://imap3images.s3-website-us-east-1.amazonaws.com/1350121/p/imap_app_photo_1687266457274.jpg", "View")</f>
        <v>View</v>
      </c>
      <c r="F1001" t="s">
        <v>266</v>
      </c>
      <c r="G1001" t="s">
        <v>267</v>
      </c>
      <c r="H1001">
        <v>324726</v>
      </c>
      <c r="I1001" t="str">
        <f t="shared" si="46"/>
        <v>View</v>
      </c>
      <c r="J1001" t="s">
        <v>266</v>
      </c>
      <c r="K1001" t="s">
        <v>268</v>
      </c>
      <c r="L1001">
        <v>324726</v>
      </c>
      <c r="M1001">
        <v>81.28</v>
      </c>
      <c r="N1001">
        <v>98.18</v>
      </c>
      <c r="O1001">
        <v>1</v>
      </c>
      <c r="P1001">
        <v>1</v>
      </c>
      <c r="R1001" t="s">
        <v>23</v>
      </c>
      <c r="S1001" t="s">
        <v>24</v>
      </c>
      <c r="T1001" t="s">
        <v>316</v>
      </c>
    </row>
    <row r="1002" spans="1:20" x14ac:dyDescent="0.25">
      <c r="A1002">
        <v>1</v>
      </c>
      <c r="B1002" t="str">
        <f>HYPERLINK("https://imapinvasives.natureserve.org/imap/services/page/Presence/1340088.html", "View")</f>
        <v>View</v>
      </c>
      <c r="C1002">
        <v>1340088</v>
      </c>
      <c r="D1002">
        <v>1355181</v>
      </c>
      <c r="E1002" t="str">
        <f>HYPERLINK("http://imap3images.s3-website-us-east-1.amazonaws.com/1355181/p/imap_app_photo_1689199573083.jpg", "View")</f>
        <v>View</v>
      </c>
      <c r="F1002" t="s">
        <v>279</v>
      </c>
      <c r="G1002" t="s">
        <v>283</v>
      </c>
      <c r="H1002">
        <v>57278</v>
      </c>
      <c r="I1002" t="str">
        <f>HYPERLINK("https://www.inaturalist.org/taxa/48734-Tsuga-canadensis", "View")</f>
        <v>View</v>
      </c>
      <c r="J1002" t="s">
        <v>130</v>
      </c>
      <c r="K1002" t="s">
        <v>131</v>
      </c>
      <c r="L1002">
        <v>48734</v>
      </c>
      <c r="M1002">
        <v>61.13</v>
      </c>
      <c r="N1002">
        <v>9.4</v>
      </c>
      <c r="P1002">
        <v>0</v>
      </c>
      <c r="R1002" t="s">
        <v>40</v>
      </c>
      <c r="S1002" t="s">
        <v>34</v>
      </c>
      <c r="T1002" t="s">
        <v>317</v>
      </c>
    </row>
    <row r="1003" spans="1:20" x14ac:dyDescent="0.25">
      <c r="A1003">
        <v>2</v>
      </c>
      <c r="B1003" t="str">
        <f>HYPERLINK("https://imapinvasives.natureserve.org/imap/services/page/Presence/1335257.html", "View")</f>
        <v>View</v>
      </c>
      <c r="C1003">
        <v>1335257</v>
      </c>
      <c r="D1003">
        <v>1349534</v>
      </c>
      <c r="E1003" t="str">
        <f>HYPERLINK("http://imap3images.s3-website-us-east-1.amazonaws.com/1349534/p/imap_app_photo_1686755986875.jpg", "View")</f>
        <v>View</v>
      </c>
      <c r="F1003" t="s">
        <v>279</v>
      </c>
      <c r="G1003" t="s">
        <v>283</v>
      </c>
      <c r="H1003">
        <v>57278</v>
      </c>
      <c r="I1003" t="str">
        <f>HYPERLINK("https://www.inaturalist.org/taxa/57278-Ailanthus-altissima", "View")</f>
        <v>View</v>
      </c>
      <c r="J1003" t="s">
        <v>279</v>
      </c>
      <c r="K1003" t="s">
        <v>280</v>
      </c>
      <c r="L1003">
        <v>57278</v>
      </c>
      <c r="M1003">
        <v>82.1</v>
      </c>
      <c r="N1003">
        <v>99.61</v>
      </c>
      <c r="P1003">
        <v>1</v>
      </c>
      <c r="R1003" t="s">
        <v>23</v>
      </c>
      <c r="S1003" t="s">
        <v>24</v>
      </c>
      <c r="T1003" t="s">
        <v>316</v>
      </c>
    </row>
    <row r="1004" spans="1:20" x14ac:dyDescent="0.25">
      <c r="A1004">
        <v>3</v>
      </c>
      <c r="B1004" t="str">
        <f>HYPERLINK("https://imapinvasives.natureserve.org/imap/services/page/Presence/1023561.html", "View")</f>
        <v>View</v>
      </c>
      <c r="C1004">
        <v>1023561</v>
      </c>
      <c r="D1004">
        <v>1024148</v>
      </c>
      <c r="E1004" t="str">
        <f>HYPERLINK("http://imap3images.s3-website-us-east-1.amazonaws.com/1024148/p/20190728_172117.jpg", "View")</f>
        <v>View</v>
      </c>
      <c r="F1004" t="s">
        <v>279</v>
      </c>
      <c r="G1004" t="s">
        <v>283</v>
      </c>
      <c r="H1004">
        <v>57278</v>
      </c>
      <c r="I1004" t="str">
        <f>HYPERLINK("https://www.inaturalist.org/taxa/57278-Ailanthus-altissima", "View")</f>
        <v>View</v>
      </c>
      <c r="J1004" t="s">
        <v>279</v>
      </c>
      <c r="K1004" t="s">
        <v>280</v>
      </c>
      <c r="L1004">
        <v>57278</v>
      </c>
      <c r="M1004">
        <v>12.89</v>
      </c>
      <c r="N1004">
        <v>99.91</v>
      </c>
      <c r="P1004">
        <v>1</v>
      </c>
      <c r="R1004" t="s">
        <v>23</v>
      </c>
      <c r="S1004" t="s">
        <v>24</v>
      </c>
      <c r="T1004" t="s">
        <v>316</v>
      </c>
    </row>
    <row r="1005" spans="1:20" x14ac:dyDescent="0.25">
      <c r="A1005">
        <v>4</v>
      </c>
      <c r="B1005" t="str">
        <f>HYPERLINK("https://imapinvasives.natureserve.org/imap/services/page/Presence/1254296.html", "View")</f>
        <v>View</v>
      </c>
      <c r="C1005">
        <v>1254296</v>
      </c>
      <c r="D1005">
        <v>1262876</v>
      </c>
      <c r="E1005" t="str">
        <f>HYPERLINK("http://imap3images.s3-website-us-east-1.amazonaws.com/1262876/p/imap_app_photo_1646776539580.jpg", "View")</f>
        <v>View</v>
      </c>
      <c r="F1005" t="s">
        <v>279</v>
      </c>
      <c r="G1005" t="s">
        <v>283</v>
      </c>
      <c r="H1005">
        <v>57278</v>
      </c>
      <c r="I1005" t="str">
        <f>HYPERLINK("https://www.inaturalist.org/taxa/54792-Juglans-cinerea", "View")</f>
        <v>View</v>
      </c>
      <c r="J1005" t="s">
        <v>284</v>
      </c>
      <c r="K1005" t="s">
        <v>285</v>
      </c>
      <c r="L1005">
        <v>54792</v>
      </c>
      <c r="M1005">
        <v>17.670000000000002</v>
      </c>
      <c r="N1005">
        <v>82.53</v>
      </c>
      <c r="P1005">
        <v>0</v>
      </c>
      <c r="R1005" t="s">
        <v>29</v>
      </c>
      <c r="S1005" t="s">
        <v>24</v>
      </c>
      <c r="T1005" t="s">
        <v>316</v>
      </c>
    </row>
    <row r="1006" spans="1:20" x14ac:dyDescent="0.25">
      <c r="A1006">
        <v>5</v>
      </c>
      <c r="B1006" t="str">
        <f>HYPERLINK("https://imapinvasives.natureserve.org/imap/services/page/Presence/1331754.html", "View")</f>
        <v>View</v>
      </c>
      <c r="C1006">
        <v>1331754</v>
      </c>
      <c r="D1006">
        <v>1345270</v>
      </c>
      <c r="E1006" t="str">
        <f>HYPERLINK("http://imap3images.s3-website-us-east-1.amazonaws.com/1345270/p/imap_app_photo_1684857409239.jpg", "View")</f>
        <v>View</v>
      </c>
      <c r="F1006" t="s">
        <v>279</v>
      </c>
      <c r="G1006" t="s">
        <v>283</v>
      </c>
      <c r="H1006">
        <v>57278</v>
      </c>
      <c r="I1006" t="str">
        <f>HYPERLINK("https://www.inaturalist.org/taxa/18463-Sphyrapicus-varius", "View")</f>
        <v>View</v>
      </c>
      <c r="J1006" t="s">
        <v>286</v>
      </c>
      <c r="K1006" t="s">
        <v>287</v>
      </c>
      <c r="L1006">
        <v>18463</v>
      </c>
      <c r="M1006">
        <v>30.37</v>
      </c>
      <c r="N1006">
        <v>36.64</v>
      </c>
      <c r="P1006">
        <v>0</v>
      </c>
      <c r="R1006" t="s">
        <v>40</v>
      </c>
      <c r="S1006" t="s">
        <v>79</v>
      </c>
      <c r="T1006" t="s">
        <v>317</v>
      </c>
    </row>
    <row r="1007" spans="1:20" x14ac:dyDescent="0.25">
      <c r="A1007">
        <v>6</v>
      </c>
      <c r="B1007" t="str">
        <f>HYPERLINK("https://imapinvasives.natureserve.org/imap/services/page/Presence/1021353.html", "View")</f>
        <v>View</v>
      </c>
      <c r="C1007">
        <v>1021353</v>
      </c>
      <c r="D1007">
        <v>1021887</v>
      </c>
      <c r="E1007" t="str">
        <f>HYPERLINK("http://imap3images.s3-website-us-east-1.amazonaws.com/1021887/p/imap_app_photo_1563112718542.jpg", "View")</f>
        <v>View</v>
      </c>
      <c r="F1007" t="s">
        <v>279</v>
      </c>
      <c r="G1007" t="s">
        <v>283</v>
      </c>
      <c r="H1007">
        <v>57278</v>
      </c>
      <c r="I1007" t="str">
        <f>HYPERLINK("https://www.inaturalist.org/taxa/57278-Ailanthus-altissima", "View")</f>
        <v>View</v>
      </c>
      <c r="J1007" t="s">
        <v>279</v>
      </c>
      <c r="K1007" t="s">
        <v>280</v>
      </c>
      <c r="L1007">
        <v>57278</v>
      </c>
      <c r="M1007">
        <v>27.06</v>
      </c>
      <c r="N1007">
        <v>26.79</v>
      </c>
      <c r="P1007">
        <v>1</v>
      </c>
      <c r="R1007" t="s">
        <v>23</v>
      </c>
      <c r="S1007" t="s">
        <v>24</v>
      </c>
      <c r="T1007" t="s">
        <v>316</v>
      </c>
    </row>
    <row r="1008" spans="1:20" x14ac:dyDescent="0.25">
      <c r="A1008">
        <v>7</v>
      </c>
      <c r="B1008" t="str">
        <f>HYPERLINK("https://imapinvasives.natureserve.org/imap/services/page/Presence/1056342.html", "View")</f>
        <v>View</v>
      </c>
      <c r="C1008">
        <v>1056342</v>
      </c>
      <c r="D1008">
        <v>1060796</v>
      </c>
      <c r="E1008" t="str">
        <f>HYPERLINK("http://imap3images.s3-website-us-east-1.amazonaws.com/1060796/p/TOH-FWilliams.jpg", "View")</f>
        <v>View</v>
      </c>
      <c r="F1008" t="s">
        <v>279</v>
      </c>
      <c r="G1008" t="s">
        <v>283</v>
      </c>
      <c r="H1008">
        <v>57278</v>
      </c>
      <c r="I1008" t="str">
        <f>HYPERLINK("https://www.inaturalist.org/taxa/57278-Ailanthus-altissima", "View")</f>
        <v>View</v>
      </c>
      <c r="J1008" t="s">
        <v>279</v>
      </c>
      <c r="K1008" t="s">
        <v>280</v>
      </c>
      <c r="L1008">
        <v>57278</v>
      </c>
      <c r="M1008">
        <v>8.35</v>
      </c>
      <c r="N1008">
        <v>23.82</v>
      </c>
      <c r="P1008">
        <v>1</v>
      </c>
      <c r="R1008" t="s">
        <v>23</v>
      </c>
      <c r="S1008" t="s">
        <v>33</v>
      </c>
      <c r="T1008" t="s">
        <v>317</v>
      </c>
    </row>
    <row r="1009" spans="1:20" x14ac:dyDescent="0.25">
      <c r="A1009">
        <v>8</v>
      </c>
      <c r="B1009" t="str">
        <f>HYPERLINK("https://imapinvasives.natureserve.org/imap/services/page/Presence/1125735.html", "View")</f>
        <v>View</v>
      </c>
      <c r="C1009">
        <v>1125735</v>
      </c>
      <c r="D1009">
        <v>1131898</v>
      </c>
      <c r="E1009" t="str">
        <f>HYPERLINK("http://imap3images.s3-website-us-east-1.amazonaws.com/1131898/p/imap_app_photo_1617106914132.jpg", "View")</f>
        <v>View</v>
      </c>
      <c r="F1009" t="s">
        <v>279</v>
      </c>
      <c r="G1009" t="s">
        <v>283</v>
      </c>
      <c r="H1009">
        <v>57278</v>
      </c>
      <c r="I1009" t="str">
        <f>HYPERLINK("https://www.inaturalist.org/taxa/209930-Jacaratia-mexicana", "View")</f>
        <v>View</v>
      </c>
      <c r="J1009" t="s">
        <v>288</v>
      </c>
      <c r="K1009" t="s">
        <v>94</v>
      </c>
      <c r="L1009">
        <v>209930</v>
      </c>
      <c r="M1009">
        <v>0</v>
      </c>
      <c r="N1009">
        <v>6.87</v>
      </c>
      <c r="P1009">
        <v>0</v>
      </c>
      <c r="R1009" t="s">
        <v>40</v>
      </c>
      <c r="S1009" t="s">
        <v>33</v>
      </c>
      <c r="T1009" t="s">
        <v>317</v>
      </c>
    </row>
    <row r="1010" spans="1:20" x14ac:dyDescent="0.25">
      <c r="A1010">
        <v>9</v>
      </c>
      <c r="B1010" t="str">
        <f>HYPERLINK("https://imapinvasives.natureserve.org/imap/services/page/Presence/1063293.html", "View")</f>
        <v>View</v>
      </c>
      <c r="C1010">
        <v>1063293</v>
      </c>
      <c r="D1010">
        <v>1067980</v>
      </c>
      <c r="E1010" t="str">
        <f>HYPERLINK("http://imap3images.s3-website-us-east-1.amazonaws.com/1067980/p/IMG_0047.JPG", "View")</f>
        <v>View</v>
      </c>
      <c r="F1010" t="s">
        <v>279</v>
      </c>
      <c r="G1010" t="s">
        <v>283</v>
      </c>
      <c r="H1010">
        <v>57278</v>
      </c>
      <c r="I1010" t="str">
        <f>HYPERLINK("https://www.inaturalist.org/taxa/57278-Ailanthus-altissima", "View")</f>
        <v>View</v>
      </c>
      <c r="J1010" t="s">
        <v>279</v>
      </c>
      <c r="K1010" t="s">
        <v>280</v>
      </c>
      <c r="L1010">
        <v>57278</v>
      </c>
      <c r="M1010">
        <v>10.31</v>
      </c>
      <c r="N1010">
        <v>99.23</v>
      </c>
      <c r="P1010">
        <v>1</v>
      </c>
      <c r="R1010" t="s">
        <v>23</v>
      </c>
      <c r="S1010" t="s">
        <v>24</v>
      </c>
      <c r="T1010" t="s">
        <v>316</v>
      </c>
    </row>
    <row r="1011" spans="1:20" x14ac:dyDescent="0.25">
      <c r="A1011">
        <v>10</v>
      </c>
      <c r="B1011" t="str">
        <f>HYPERLINK("https://imapinvasives.natureserve.org/imap/services/page/Presence/1291586.html", "View")</f>
        <v>View</v>
      </c>
      <c r="C1011">
        <v>1291586</v>
      </c>
      <c r="D1011">
        <v>1301783</v>
      </c>
      <c r="E1011" t="str">
        <f>HYPERLINK("http://imap3images.s3-website-us-east-1.amazonaws.com/1301783/p/imap_app_photo_1662500658773.jpg", "View")</f>
        <v>View</v>
      </c>
      <c r="F1011" t="s">
        <v>279</v>
      </c>
      <c r="G1011" t="s">
        <v>283</v>
      </c>
      <c r="H1011">
        <v>57278</v>
      </c>
      <c r="I1011" t="str">
        <f>HYPERLINK("https://www.inaturalist.org/taxa/57278-Ailanthus-altissima", "View")</f>
        <v>View</v>
      </c>
      <c r="J1011" t="s">
        <v>279</v>
      </c>
      <c r="K1011" t="s">
        <v>280</v>
      </c>
      <c r="L1011">
        <v>57278</v>
      </c>
      <c r="M1011">
        <v>27.69</v>
      </c>
      <c r="N1011">
        <v>88.76</v>
      </c>
      <c r="P1011">
        <v>1</v>
      </c>
      <c r="R1011" t="s">
        <v>23</v>
      </c>
      <c r="S1011" t="s">
        <v>24</v>
      </c>
      <c r="T1011" t="s">
        <v>316</v>
      </c>
    </row>
    <row r="1012" spans="1:20" x14ac:dyDescent="0.25">
      <c r="A1012">
        <v>11</v>
      </c>
      <c r="B1012" t="str">
        <f>HYPERLINK("https://imapinvasives.natureserve.org/imap/services/page/Presence/335694.html", "View")</f>
        <v>View</v>
      </c>
      <c r="C1012">
        <v>335694</v>
      </c>
      <c r="D1012">
        <v>335694</v>
      </c>
      <c r="E1012" t="str">
        <f>HYPERLINK("http://imap3images.s3-website-us-east-1.amazonaws.com/335694/p/photourl1_2013_08_19_matbilz_sp0urvx7.jpg", "View")</f>
        <v>View</v>
      </c>
      <c r="F1012" t="s">
        <v>279</v>
      </c>
      <c r="G1012" t="s">
        <v>283</v>
      </c>
      <c r="H1012">
        <v>57278</v>
      </c>
      <c r="I1012" t="str">
        <f>HYPERLINK("https://www.inaturalist.org/taxa/57278-Ailanthus-altissima", "View")</f>
        <v>View</v>
      </c>
      <c r="J1012" t="s">
        <v>279</v>
      </c>
      <c r="K1012" t="s">
        <v>280</v>
      </c>
      <c r="L1012">
        <v>57278</v>
      </c>
      <c r="M1012">
        <v>18.649999999999999</v>
      </c>
      <c r="N1012">
        <v>98.95</v>
      </c>
      <c r="P1012">
        <v>1</v>
      </c>
      <c r="R1012" t="s">
        <v>23</v>
      </c>
      <c r="S1012" t="s">
        <v>24</v>
      </c>
      <c r="T1012" t="s">
        <v>316</v>
      </c>
    </row>
    <row r="1013" spans="1:20" x14ac:dyDescent="0.25">
      <c r="A1013">
        <v>12</v>
      </c>
      <c r="B1013" t="str">
        <f>HYPERLINK("https://imapinvasives.natureserve.org/imap/services/page/Presence/1296826.html", "View")</f>
        <v>View</v>
      </c>
      <c r="C1013">
        <v>1296826</v>
      </c>
      <c r="D1013">
        <v>1307057</v>
      </c>
      <c r="E1013" t="str">
        <f>HYPERLINK("http://imap3images.s3-website-us-east-1.amazonaws.com/1307057/p/IMG_4739.JPG", "View")</f>
        <v>View</v>
      </c>
      <c r="F1013" t="s">
        <v>279</v>
      </c>
      <c r="G1013" t="s">
        <v>283</v>
      </c>
      <c r="H1013">
        <v>57278</v>
      </c>
      <c r="I1013" t="str">
        <f>HYPERLINK("https://www.inaturalist.org/taxa/57278-Ailanthus-altissima", "View")</f>
        <v>View</v>
      </c>
      <c r="J1013" t="s">
        <v>279</v>
      </c>
      <c r="K1013" t="s">
        <v>280</v>
      </c>
      <c r="L1013">
        <v>57278</v>
      </c>
      <c r="M1013">
        <v>56.26</v>
      </c>
      <c r="N1013">
        <v>98.91</v>
      </c>
      <c r="P1013">
        <v>1</v>
      </c>
      <c r="R1013" t="s">
        <v>23</v>
      </c>
      <c r="S1013" t="s">
        <v>24</v>
      </c>
      <c r="T1013" t="s">
        <v>316</v>
      </c>
    </row>
    <row r="1014" spans="1:20" x14ac:dyDescent="0.25">
      <c r="A1014">
        <v>13</v>
      </c>
      <c r="B1014" t="str">
        <f>HYPERLINK("https://imapinvasives.natureserve.org/imap/services/page/Presence/1179797.html", "View")</f>
        <v>View</v>
      </c>
      <c r="C1014">
        <v>1179797</v>
      </c>
      <c r="D1014">
        <v>1187618</v>
      </c>
      <c r="E1014" t="str">
        <f>HYPERLINK("http://imap3images.s3-website-us-east-1.amazonaws.com/1187618/p/imap_app_photo_1635867788653.jpg", "View")</f>
        <v>View</v>
      </c>
      <c r="F1014" t="s">
        <v>279</v>
      </c>
      <c r="G1014" t="s">
        <v>283</v>
      </c>
      <c r="H1014">
        <v>57278</v>
      </c>
      <c r="I1014" t="str">
        <f>HYPERLINK("https://www.inaturalist.org/taxa/163451-Gymnocladus-dioicus", "View")</f>
        <v>View</v>
      </c>
      <c r="J1014" t="s">
        <v>289</v>
      </c>
      <c r="K1014" t="s">
        <v>290</v>
      </c>
      <c r="L1014">
        <v>163451</v>
      </c>
      <c r="M1014">
        <v>33.130000000000003</v>
      </c>
      <c r="N1014">
        <v>71.02</v>
      </c>
      <c r="P1014">
        <v>0</v>
      </c>
      <c r="R1014" t="s">
        <v>29</v>
      </c>
      <c r="S1014" t="s">
        <v>39</v>
      </c>
      <c r="T1014" t="s">
        <v>317</v>
      </c>
    </row>
    <row r="1015" spans="1:20" x14ac:dyDescent="0.25">
      <c r="A1015">
        <v>14</v>
      </c>
      <c r="B1015" t="str">
        <f>HYPERLINK("https://imapinvasives.natureserve.org/imap/services/page/Presence/1282289.html", "View")</f>
        <v>View</v>
      </c>
      <c r="C1015">
        <v>1282289</v>
      </c>
      <c r="D1015">
        <v>1291753</v>
      </c>
      <c r="E1015" t="str">
        <f>HYPERLINK("http://imap3images.s3-website-us-east-1.amazonaws.com/1291753/p/imap_app_photo_1657827146511.jpg", "View")</f>
        <v>View</v>
      </c>
      <c r="F1015" t="s">
        <v>279</v>
      </c>
      <c r="G1015" t="s">
        <v>283</v>
      </c>
      <c r="H1015">
        <v>57278</v>
      </c>
      <c r="I1015" t="str">
        <f>HYPERLINK("https://www.inaturalist.org/taxa/57278-Ailanthus-altissima", "View")</f>
        <v>View</v>
      </c>
      <c r="J1015" t="s">
        <v>279</v>
      </c>
      <c r="K1015" t="s">
        <v>280</v>
      </c>
      <c r="L1015">
        <v>57278</v>
      </c>
      <c r="M1015">
        <v>7.37</v>
      </c>
      <c r="N1015">
        <v>87.65</v>
      </c>
      <c r="P1015">
        <v>1</v>
      </c>
      <c r="R1015" t="s">
        <v>23</v>
      </c>
      <c r="S1015" t="s">
        <v>24</v>
      </c>
      <c r="T1015" t="s">
        <v>316</v>
      </c>
    </row>
    <row r="1016" spans="1:20" x14ac:dyDescent="0.25">
      <c r="A1016">
        <v>15</v>
      </c>
      <c r="B1016" t="str">
        <f>HYPERLINK("https://imapinvasives.natureserve.org/imap/services/page/Presence/1064679.html", "View")</f>
        <v>View</v>
      </c>
      <c r="C1016">
        <v>1064679</v>
      </c>
      <c r="D1016">
        <v>1069431</v>
      </c>
      <c r="E1016" t="str">
        <f>HYPERLINK("http://imap3images.s3-website-us-east-1.amazonaws.com/1069431/p/imap_app_photo_1598969910144.jpg", "View")</f>
        <v>View</v>
      </c>
      <c r="F1016" t="s">
        <v>279</v>
      </c>
      <c r="G1016" t="s">
        <v>283</v>
      </c>
      <c r="H1016">
        <v>57278</v>
      </c>
      <c r="I1016" t="str">
        <f>HYPERLINK("https://www.inaturalist.org/taxa/57278-Ailanthus-altissima", "View")</f>
        <v>View</v>
      </c>
      <c r="J1016" t="s">
        <v>279</v>
      </c>
      <c r="K1016" t="s">
        <v>280</v>
      </c>
      <c r="L1016">
        <v>57278</v>
      </c>
      <c r="M1016">
        <v>10.08</v>
      </c>
      <c r="N1016">
        <v>96.44</v>
      </c>
      <c r="P1016">
        <v>1</v>
      </c>
      <c r="R1016" t="s">
        <v>23</v>
      </c>
      <c r="S1016" t="s">
        <v>24</v>
      </c>
      <c r="T1016" t="s">
        <v>316</v>
      </c>
    </row>
    <row r="1017" spans="1:20" x14ac:dyDescent="0.25">
      <c r="A1017">
        <v>16</v>
      </c>
      <c r="B1017" t="str">
        <f>HYPERLINK("https://imapinvasives.natureserve.org/imap/services/page/Presence/1157718.html", "View")</f>
        <v>View</v>
      </c>
      <c r="C1017">
        <v>1157718</v>
      </c>
      <c r="D1017">
        <v>1164771</v>
      </c>
      <c r="E1017" t="str">
        <f>HYPERLINK("http://imap3images.s3-website-us-east-1.amazonaws.com/1164771/p/imap_app_photo_1628700687318.jpg", "View")</f>
        <v>View</v>
      </c>
      <c r="F1017" t="s">
        <v>279</v>
      </c>
      <c r="G1017" t="s">
        <v>283</v>
      </c>
      <c r="H1017">
        <v>57278</v>
      </c>
      <c r="I1017" t="str">
        <f>HYPERLINK("https://www.inaturalist.org/taxa/57278-Ailanthus-altissima", "View")</f>
        <v>View</v>
      </c>
      <c r="J1017" t="s">
        <v>279</v>
      </c>
      <c r="K1017" t="s">
        <v>280</v>
      </c>
      <c r="L1017">
        <v>57278</v>
      </c>
      <c r="M1017">
        <v>32.21</v>
      </c>
      <c r="N1017">
        <v>97.55</v>
      </c>
      <c r="P1017">
        <v>1</v>
      </c>
      <c r="R1017" t="s">
        <v>23</v>
      </c>
      <c r="S1017" t="s">
        <v>24</v>
      </c>
      <c r="T1017" t="s">
        <v>316</v>
      </c>
    </row>
    <row r="1018" spans="1:20" x14ac:dyDescent="0.25">
      <c r="A1018">
        <v>17</v>
      </c>
      <c r="B1018" t="str">
        <f>HYPERLINK("https://imapinvasives.natureserve.org/imap/services/page/Presence/525554.html", "View")</f>
        <v>View</v>
      </c>
      <c r="C1018">
        <v>525554</v>
      </c>
      <c r="D1018">
        <v>525554</v>
      </c>
      <c r="E1018" t="str">
        <f>HYPERLINK("http://imap3images.s3-website-us-east-1.amazonaws.com/525554/p/photourl1_2018_05_17_ramponce_6sv77ff1.jpg", "View")</f>
        <v>View</v>
      </c>
      <c r="F1018" t="s">
        <v>279</v>
      </c>
      <c r="G1018" t="s">
        <v>283</v>
      </c>
      <c r="H1018">
        <v>57278</v>
      </c>
      <c r="I1018" t="str">
        <f>HYPERLINK("https://www.inaturalist.org/taxa/54504-Juglans-nigra", "View")</f>
        <v>View</v>
      </c>
      <c r="J1018" t="s">
        <v>291</v>
      </c>
      <c r="K1018" t="s">
        <v>292</v>
      </c>
      <c r="L1018">
        <v>54504</v>
      </c>
      <c r="M1018">
        <v>76.22</v>
      </c>
      <c r="N1018">
        <v>13.46</v>
      </c>
      <c r="P1018">
        <v>0</v>
      </c>
      <c r="R1018" t="s">
        <v>40</v>
      </c>
      <c r="S1018" t="s">
        <v>34</v>
      </c>
      <c r="T1018" t="s">
        <v>317</v>
      </c>
    </row>
    <row r="1019" spans="1:20" x14ac:dyDescent="0.25">
      <c r="A1019">
        <v>18</v>
      </c>
      <c r="B1019" t="str">
        <f>HYPERLINK("https://imapinvasives.natureserve.org/imap/services/page/Presence/530727.html", "View")</f>
        <v>View</v>
      </c>
      <c r="C1019">
        <v>530727</v>
      </c>
      <c r="D1019">
        <v>530727</v>
      </c>
      <c r="E1019" t="str">
        <f>HYPERLINK("http://imap3images.s3-website-us-east-1.amazonaws.com/530727/p/photourl1_2018_06_19_julisnardi_ictvlrdh.jpg", "View")</f>
        <v>View</v>
      </c>
      <c r="F1019" t="s">
        <v>279</v>
      </c>
      <c r="G1019" t="s">
        <v>283</v>
      </c>
      <c r="H1019">
        <v>57278</v>
      </c>
      <c r="I1019" t="str">
        <f>HYPERLINK("https://www.inaturalist.org/taxa/57278-Ailanthus-altissima", "View")</f>
        <v>View</v>
      </c>
      <c r="J1019" t="s">
        <v>279</v>
      </c>
      <c r="K1019" t="s">
        <v>280</v>
      </c>
      <c r="L1019">
        <v>57278</v>
      </c>
      <c r="M1019">
        <v>5.49</v>
      </c>
      <c r="N1019">
        <v>98.91</v>
      </c>
      <c r="P1019">
        <v>1</v>
      </c>
      <c r="R1019" t="s">
        <v>23</v>
      </c>
      <c r="S1019" t="s">
        <v>24</v>
      </c>
      <c r="T1019" t="s">
        <v>316</v>
      </c>
    </row>
    <row r="1020" spans="1:20" x14ac:dyDescent="0.25">
      <c r="A1020">
        <v>19</v>
      </c>
      <c r="B1020" t="str">
        <f>HYPERLINK("https://imapinvasives.natureserve.org/imap/services/page/Presence/1018319.html", "View")</f>
        <v>View</v>
      </c>
      <c r="C1020">
        <v>1018319</v>
      </c>
      <c r="D1020">
        <v>1018838</v>
      </c>
      <c r="E1020" t="str">
        <f>HYPERLINK("http://imap3images.s3-website-us-east-1.amazonaws.com/1018838/p/hostPhoto-20180911-142246.jpg", "View")</f>
        <v>View</v>
      </c>
      <c r="F1020" t="s">
        <v>279</v>
      </c>
      <c r="G1020" t="s">
        <v>283</v>
      </c>
      <c r="H1020">
        <v>57278</v>
      </c>
      <c r="I1020" t="str">
        <f>HYPERLINK("https://www.inaturalist.org/taxa/57278-Ailanthus-altissima", "View")</f>
        <v>View</v>
      </c>
      <c r="J1020" t="s">
        <v>279</v>
      </c>
      <c r="K1020" t="s">
        <v>280</v>
      </c>
      <c r="L1020">
        <v>57278</v>
      </c>
      <c r="M1020">
        <v>14.62</v>
      </c>
      <c r="N1020">
        <v>13.2</v>
      </c>
      <c r="P1020">
        <v>1</v>
      </c>
      <c r="R1020" t="s">
        <v>23</v>
      </c>
      <c r="S1020" t="s">
        <v>79</v>
      </c>
      <c r="T1020" t="s">
        <v>317</v>
      </c>
    </row>
    <row r="1021" spans="1:20" x14ac:dyDescent="0.25">
      <c r="A1021">
        <v>20</v>
      </c>
      <c r="B1021" t="str">
        <f>HYPERLINK("https://imapinvasives.natureserve.org/imap/services/page/Presence/1021307.html", "View")</f>
        <v>View</v>
      </c>
      <c r="C1021">
        <v>1021307</v>
      </c>
      <c r="D1021">
        <v>1021841</v>
      </c>
      <c r="E1021" t="str">
        <f>HYPERLINK("http://imap3images.s3-website-us-east-1.amazonaws.com/1021841/p/IMG_6002.JPG", "View")</f>
        <v>View</v>
      </c>
      <c r="F1021" t="s">
        <v>279</v>
      </c>
      <c r="G1021" t="s">
        <v>283</v>
      </c>
      <c r="H1021">
        <v>57278</v>
      </c>
      <c r="I1021" t="str">
        <f>HYPERLINK("https://www.inaturalist.org/taxa/57278-Ailanthus-altissima", "View")</f>
        <v>View</v>
      </c>
      <c r="J1021" t="s">
        <v>279</v>
      </c>
      <c r="K1021" t="s">
        <v>280</v>
      </c>
      <c r="L1021">
        <v>57278</v>
      </c>
      <c r="M1021">
        <v>27.06</v>
      </c>
      <c r="N1021">
        <v>52.83</v>
      </c>
      <c r="P1021">
        <v>1</v>
      </c>
      <c r="R1021" t="s">
        <v>23</v>
      </c>
      <c r="S1021" t="s">
        <v>24</v>
      </c>
      <c r="T1021" t="s">
        <v>316</v>
      </c>
    </row>
    <row r="1022" spans="1:20" x14ac:dyDescent="0.25">
      <c r="A1022">
        <v>21</v>
      </c>
      <c r="B1022" t="str">
        <f>HYPERLINK("https://imapinvasives.natureserve.org/imap/services/page/Presence/1355113.html", "View")</f>
        <v>View</v>
      </c>
      <c r="C1022">
        <v>1355113</v>
      </c>
      <c r="D1022">
        <v>1372745</v>
      </c>
      <c r="E1022" t="str">
        <f>HYPERLINK("http://imap3images.s3-website-us-east-1.amazonaws.com/1372745/p/16619461680187446308400527083499.jpg", "View")</f>
        <v>View</v>
      </c>
      <c r="F1022" t="s">
        <v>279</v>
      </c>
      <c r="G1022" t="s">
        <v>283</v>
      </c>
      <c r="H1022">
        <v>57278</v>
      </c>
      <c r="I1022" t="str">
        <f>HYPERLINK("https://www.inaturalist.org/taxa/57278-Ailanthus-altissima", "View")</f>
        <v>View</v>
      </c>
      <c r="J1022" t="s">
        <v>279</v>
      </c>
      <c r="K1022" t="s">
        <v>280</v>
      </c>
      <c r="L1022">
        <v>57278</v>
      </c>
      <c r="M1022">
        <v>82.1</v>
      </c>
      <c r="N1022">
        <v>56.5</v>
      </c>
      <c r="P1022">
        <v>1</v>
      </c>
      <c r="R1022" t="s">
        <v>23</v>
      </c>
      <c r="S1022" t="s">
        <v>24</v>
      </c>
      <c r="T1022" t="s">
        <v>316</v>
      </c>
    </row>
    <row r="1023" spans="1:20" x14ac:dyDescent="0.25">
      <c r="A1023">
        <v>22</v>
      </c>
      <c r="B1023" t="str">
        <f>HYPERLINK("https://imapinvasives.natureserve.org/imap/services/page/Presence/1018279.html", "View")</f>
        <v>View</v>
      </c>
      <c r="C1023">
        <v>1018279</v>
      </c>
      <c r="D1023">
        <v>1018798</v>
      </c>
      <c r="E1023" t="str">
        <f>HYPERLINK("http://imap3images.s3-website-us-east-1.amazonaws.com/1018798/p/hostPhoto-20181101-174245.jpg", "View")</f>
        <v>View</v>
      </c>
      <c r="F1023" t="s">
        <v>279</v>
      </c>
      <c r="G1023" t="s">
        <v>283</v>
      </c>
      <c r="H1023">
        <v>57278</v>
      </c>
      <c r="I1023" t="str">
        <f>HYPERLINK("https://www.inaturalist.org/taxa/54859-Celtis-tenuifolia", "View")</f>
        <v>View</v>
      </c>
      <c r="J1023" t="s">
        <v>293</v>
      </c>
      <c r="K1023" t="s">
        <v>294</v>
      </c>
      <c r="L1023">
        <v>54859</v>
      </c>
      <c r="M1023">
        <v>0.34</v>
      </c>
      <c r="N1023">
        <v>7.81</v>
      </c>
      <c r="P1023">
        <v>0</v>
      </c>
      <c r="R1023" t="s">
        <v>40</v>
      </c>
      <c r="S1023" t="s">
        <v>79</v>
      </c>
      <c r="T1023" t="s">
        <v>317</v>
      </c>
    </row>
    <row r="1024" spans="1:20" x14ac:dyDescent="0.25">
      <c r="A1024">
        <v>23</v>
      </c>
      <c r="B1024" t="str">
        <f>HYPERLINK("https://imapinvasives.natureserve.org/imap/services/page/Presence/1159585.html", "View")</f>
        <v>View</v>
      </c>
      <c r="C1024">
        <v>1159585</v>
      </c>
      <c r="D1024">
        <v>1166682</v>
      </c>
      <c r="E1024" t="str">
        <f>HYPERLINK("http://imap3images.s3-website-us-east-1.amazonaws.com/1166682/p/imap_app_photo_1629650123772.jpg", "View")</f>
        <v>View</v>
      </c>
      <c r="F1024" t="s">
        <v>279</v>
      </c>
      <c r="G1024" t="s">
        <v>283</v>
      </c>
      <c r="H1024">
        <v>57278</v>
      </c>
      <c r="I1024" t="str">
        <f>HYPERLINK("https://www.inaturalist.org/taxa/57278-Ailanthus-altissima", "View")</f>
        <v>View</v>
      </c>
      <c r="J1024" t="s">
        <v>279</v>
      </c>
      <c r="K1024" t="s">
        <v>280</v>
      </c>
      <c r="L1024">
        <v>57278</v>
      </c>
      <c r="M1024">
        <v>7.37</v>
      </c>
      <c r="N1024">
        <v>99.08</v>
      </c>
      <c r="P1024">
        <v>1</v>
      </c>
      <c r="R1024" t="s">
        <v>23</v>
      </c>
      <c r="S1024" t="s">
        <v>24</v>
      </c>
      <c r="T1024" t="s">
        <v>316</v>
      </c>
    </row>
    <row r="1025" spans="1:20" x14ac:dyDescent="0.25">
      <c r="A1025">
        <v>24</v>
      </c>
      <c r="B1025" t="str">
        <f>HYPERLINK("https://imapinvasives.natureserve.org/imap/services/page/Presence/1113530.html", "View")</f>
        <v>View</v>
      </c>
      <c r="C1025">
        <v>1113530</v>
      </c>
      <c r="D1025">
        <v>1119523</v>
      </c>
      <c r="E1025" t="str">
        <f>HYPERLINK("http://imap3images.s3-website-us-east-1.amazonaws.com/1119523/p/imap_app_photo_1610048531042.jpg", "View")</f>
        <v>View</v>
      </c>
      <c r="F1025" t="s">
        <v>279</v>
      </c>
      <c r="G1025" t="s">
        <v>283</v>
      </c>
      <c r="H1025">
        <v>57278</v>
      </c>
      <c r="I1025" t="str">
        <f>HYPERLINK("https://www.inaturalist.org/taxa/54787-Carya-cordiformis", "View")</f>
        <v>View</v>
      </c>
      <c r="J1025" t="s">
        <v>295</v>
      </c>
      <c r="K1025" t="s">
        <v>296</v>
      </c>
      <c r="L1025">
        <v>54787</v>
      </c>
      <c r="M1025">
        <v>14.33</v>
      </c>
      <c r="N1025">
        <v>18.13</v>
      </c>
      <c r="P1025">
        <v>0</v>
      </c>
      <c r="R1025" t="s">
        <v>29</v>
      </c>
      <c r="S1025" t="s">
        <v>24</v>
      </c>
      <c r="T1025" t="s">
        <v>316</v>
      </c>
    </row>
    <row r="1026" spans="1:20" x14ac:dyDescent="0.25">
      <c r="A1026">
        <v>25</v>
      </c>
      <c r="B1026" t="str">
        <f>HYPERLINK("https://imapinvasives.natureserve.org/imap/services/page/Presence/1063611.html", "View")</f>
        <v>View</v>
      </c>
      <c r="C1026">
        <v>1063611</v>
      </c>
      <c r="D1026">
        <v>1068298</v>
      </c>
      <c r="E1026" t="str">
        <f>HYPERLINK("http://imap3images.s3-website-us-east-1.amazonaws.com/1068298/p/imap_app_photo_1597843074826.jpg", "View")</f>
        <v>View</v>
      </c>
      <c r="F1026" t="s">
        <v>279</v>
      </c>
      <c r="G1026" t="s">
        <v>283</v>
      </c>
      <c r="H1026">
        <v>57278</v>
      </c>
      <c r="I1026" t="str">
        <f>HYPERLINK("https://www.inaturalist.org/taxa/57278-Ailanthus-altissima", "View")</f>
        <v>View</v>
      </c>
      <c r="J1026" t="s">
        <v>279</v>
      </c>
      <c r="K1026" t="s">
        <v>280</v>
      </c>
      <c r="L1026">
        <v>57278</v>
      </c>
      <c r="M1026">
        <v>33.44</v>
      </c>
      <c r="N1026">
        <v>99.36</v>
      </c>
      <c r="P1026">
        <v>1</v>
      </c>
      <c r="R1026" t="s">
        <v>23</v>
      </c>
      <c r="S1026" t="s">
        <v>24</v>
      </c>
      <c r="T1026" t="s">
        <v>316</v>
      </c>
    </row>
    <row r="1027" spans="1:20" x14ac:dyDescent="0.25">
      <c r="A1027">
        <v>26</v>
      </c>
      <c r="B1027" t="str">
        <f>HYPERLINK("https://imapinvasives.natureserve.org/imap/services/page/Presence/1340702.html", "View")</f>
        <v>View</v>
      </c>
      <c r="C1027">
        <v>1340702</v>
      </c>
      <c r="D1027">
        <v>1355874</v>
      </c>
      <c r="E1027" t="str">
        <f>HYPERLINK("http://imap3images.s3-website-us-east-1.amazonaws.com/1355874/p/imap_app_photo_1689373470366.jpg", "View")</f>
        <v>View</v>
      </c>
      <c r="F1027" t="s">
        <v>279</v>
      </c>
      <c r="G1027" t="s">
        <v>283</v>
      </c>
      <c r="H1027">
        <v>57278</v>
      </c>
      <c r="I1027" t="str">
        <f>HYPERLINK("https://www.inaturalist.org/taxa/57278-Ailanthus-altissima", "View")</f>
        <v>View</v>
      </c>
      <c r="J1027" t="s">
        <v>279</v>
      </c>
      <c r="K1027" t="s">
        <v>280</v>
      </c>
      <c r="L1027">
        <v>57278</v>
      </c>
      <c r="M1027">
        <v>37.65</v>
      </c>
      <c r="N1027">
        <v>84.1</v>
      </c>
      <c r="P1027">
        <v>1</v>
      </c>
      <c r="R1027" t="s">
        <v>23</v>
      </c>
      <c r="S1027" t="s">
        <v>24</v>
      </c>
      <c r="T1027" t="s">
        <v>316</v>
      </c>
    </row>
    <row r="1028" spans="1:20" x14ac:dyDescent="0.25">
      <c r="A1028">
        <v>27</v>
      </c>
      <c r="B1028" t="str">
        <f>HYPERLINK("https://imapinvasives.natureserve.org/imap/services/page/Presence/1021868.html", "View")</f>
        <v>View</v>
      </c>
      <c r="C1028">
        <v>1021868</v>
      </c>
      <c r="D1028">
        <v>1022413</v>
      </c>
      <c r="E1028" t="str">
        <f>HYPERLINK("http://imap3images.s3-website-us-east-1.amazonaws.com/1022413/p/imap_app_photo_1563314446898.jpg", "View")</f>
        <v>View</v>
      </c>
      <c r="F1028" t="s">
        <v>279</v>
      </c>
      <c r="G1028" t="s">
        <v>283</v>
      </c>
      <c r="H1028">
        <v>57278</v>
      </c>
      <c r="I1028" t="str">
        <f>HYPERLINK("https://www.inaturalist.org/taxa/57278-Ailanthus-altissima", "View")</f>
        <v>View</v>
      </c>
      <c r="J1028" t="s">
        <v>279</v>
      </c>
      <c r="K1028" t="s">
        <v>280</v>
      </c>
      <c r="L1028">
        <v>57278</v>
      </c>
      <c r="M1028">
        <v>56.26</v>
      </c>
      <c r="N1028">
        <v>99.96</v>
      </c>
      <c r="P1028">
        <v>1</v>
      </c>
      <c r="R1028" t="s">
        <v>23</v>
      </c>
      <c r="S1028" t="s">
        <v>24</v>
      </c>
      <c r="T1028" t="s">
        <v>316</v>
      </c>
    </row>
    <row r="1029" spans="1:20" x14ac:dyDescent="0.25">
      <c r="A1029">
        <v>28</v>
      </c>
      <c r="B1029" t="str">
        <f>HYPERLINK("https://imapinvasives.natureserve.org/imap/services/page/Presence/1412071.html", "View")</f>
        <v>View</v>
      </c>
      <c r="C1029">
        <v>1412071</v>
      </c>
      <c r="D1029">
        <v>1424767</v>
      </c>
      <c r="E1029" t="str">
        <f>HYPERLINK("http://imap3images.s3-website-us-east-1.amazonaws.com/1424767/p/20240616_125246.jpg", "View")</f>
        <v>View</v>
      </c>
      <c r="F1029" t="s">
        <v>279</v>
      </c>
      <c r="G1029" t="s">
        <v>283</v>
      </c>
      <c r="H1029">
        <v>57278</v>
      </c>
      <c r="I1029" t="str">
        <f>HYPERLINK("https://www.inaturalist.org/taxa/54504-Juglans-nigra", "View")</f>
        <v>View</v>
      </c>
      <c r="J1029" t="s">
        <v>291</v>
      </c>
      <c r="K1029" t="s">
        <v>292</v>
      </c>
      <c r="L1029">
        <v>54504</v>
      </c>
      <c r="M1029">
        <v>34</v>
      </c>
      <c r="N1029">
        <v>18.760000000000002</v>
      </c>
      <c r="P1029">
        <v>0</v>
      </c>
      <c r="R1029" t="s">
        <v>29</v>
      </c>
      <c r="S1029" t="s">
        <v>24</v>
      </c>
      <c r="T1029" t="s">
        <v>316</v>
      </c>
    </row>
    <row r="1030" spans="1:20" x14ac:dyDescent="0.25">
      <c r="A1030">
        <v>29</v>
      </c>
      <c r="B1030" t="str">
        <f>HYPERLINK("https://imapinvasives.natureserve.org/imap/services/page/Presence/1284972.html", "View")</f>
        <v>View</v>
      </c>
      <c r="C1030">
        <v>1284972</v>
      </c>
      <c r="D1030">
        <v>1294552</v>
      </c>
      <c r="E1030" t="str">
        <f>HYPERLINK("http://imap3images.s3-website-us-east-1.amazonaws.com/1294552/p/imap_app_photo_1659553833682.jpg", "View")</f>
        <v>View</v>
      </c>
      <c r="F1030" t="s">
        <v>279</v>
      </c>
      <c r="G1030" t="s">
        <v>283</v>
      </c>
      <c r="H1030">
        <v>57278</v>
      </c>
      <c r="I1030" t="str">
        <f>HYPERLINK("https://www.inaturalist.org/taxa/57278-Ailanthus-altissima", "View")</f>
        <v>View</v>
      </c>
      <c r="J1030" t="s">
        <v>279</v>
      </c>
      <c r="K1030" t="s">
        <v>280</v>
      </c>
      <c r="L1030">
        <v>57278</v>
      </c>
      <c r="M1030">
        <v>10.53</v>
      </c>
      <c r="N1030">
        <v>46.4</v>
      </c>
      <c r="P1030">
        <v>1</v>
      </c>
      <c r="R1030" t="s">
        <v>23</v>
      </c>
      <c r="S1030" t="s">
        <v>33</v>
      </c>
      <c r="T1030" t="s">
        <v>317</v>
      </c>
    </row>
    <row r="1031" spans="1:20" x14ac:dyDescent="0.25">
      <c r="A1031">
        <v>30</v>
      </c>
      <c r="B1031" t="str">
        <f>HYPERLINK("https://imapinvasives.natureserve.org/imap/services/page/Presence/1336152.html", "View")</f>
        <v>View</v>
      </c>
      <c r="C1031">
        <v>1336152</v>
      </c>
      <c r="D1031">
        <v>1350525</v>
      </c>
      <c r="E1031" t="str">
        <f>HYPERLINK("http://imap3images.s3-website-us-east-1.amazonaws.com/1350525/p/imap_app_photo_1687393761057.jpg", "View")</f>
        <v>View</v>
      </c>
      <c r="F1031" t="s">
        <v>279</v>
      </c>
      <c r="G1031" t="s">
        <v>283</v>
      </c>
      <c r="H1031">
        <v>57278</v>
      </c>
      <c r="I1031" t="str">
        <f>HYPERLINK("https://www.inaturalist.org/taxa/57278-Ailanthus-altissima", "View")</f>
        <v>View</v>
      </c>
      <c r="J1031" t="s">
        <v>279</v>
      </c>
      <c r="K1031" t="s">
        <v>280</v>
      </c>
      <c r="L1031">
        <v>57278</v>
      </c>
      <c r="M1031">
        <v>14.62</v>
      </c>
      <c r="N1031">
        <v>88.87</v>
      </c>
      <c r="P1031">
        <v>1</v>
      </c>
      <c r="R1031" t="s">
        <v>23</v>
      </c>
      <c r="S1031" t="s">
        <v>24</v>
      </c>
      <c r="T1031" t="s">
        <v>316</v>
      </c>
    </row>
    <row r="1032" spans="1:20" x14ac:dyDescent="0.25">
      <c r="A1032">
        <v>31</v>
      </c>
      <c r="B1032" t="str">
        <f>HYPERLINK("https://imapinvasives.natureserve.org/imap/services/page/Presence/532204.html", "View")</f>
        <v>View</v>
      </c>
      <c r="C1032">
        <v>532204</v>
      </c>
      <c r="D1032">
        <v>532204</v>
      </c>
      <c r="E1032" t="str">
        <f>HYPERLINK("http://imap3images.s3-website-us-east-1.amazonaws.com/532204/p/photourl1_2018_10_18_zacsimek_rkymmdqq.jpg", "View")</f>
        <v>View</v>
      </c>
      <c r="F1032" t="s">
        <v>279</v>
      </c>
      <c r="G1032" t="s">
        <v>283</v>
      </c>
      <c r="H1032">
        <v>57278</v>
      </c>
      <c r="I1032" t="str">
        <f>HYPERLINK("https://www.inaturalist.org/taxa/57278-Ailanthus-altissima", "View")</f>
        <v>View</v>
      </c>
      <c r="J1032" t="s">
        <v>279</v>
      </c>
      <c r="K1032" t="s">
        <v>280</v>
      </c>
      <c r="L1032">
        <v>57278</v>
      </c>
      <c r="M1032">
        <v>10.53</v>
      </c>
      <c r="N1032">
        <v>52.04</v>
      </c>
      <c r="P1032">
        <v>1</v>
      </c>
      <c r="R1032" t="s">
        <v>23</v>
      </c>
      <c r="S1032" t="s">
        <v>24</v>
      </c>
      <c r="T1032" t="s">
        <v>316</v>
      </c>
    </row>
    <row r="1033" spans="1:20" x14ac:dyDescent="0.25">
      <c r="A1033">
        <v>32</v>
      </c>
      <c r="B1033" t="str">
        <f>HYPERLINK("https://imapinvasives.natureserve.org/imap/services/page/Presence/1443675.html", "View")</f>
        <v>View</v>
      </c>
      <c r="C1033">
        <v>1443675</v>
      </c>
      <c r="D1033">
        <v>1458325</v>
      </c>
      <c r="E1033" t="str">
        <f>HYPERLINK("http://imap3images.s3-website-us-east-1.amazonaws.com/1458325/p/imap_app_photo_1725302244036.jpg", "View")</f>
        <v>View</v>
      </c>
      <c r="F1033" t="s">
        <v>279</v>
      </c>
      <c r="G1033" t="s">
        <v>283</v>
      </c>
      <c r="H1033">
        <v>57278</v>
      </c>
      <c r="I1033" t="str">
        <f>HYPERLINK("https://www.inaturalist.org/taxa/57278-Ailanthus-altissima", "View")</f>
        <v>View</v>
      </c>
      <c r="J1033" t="s">
        <v>279</v>
      </c>
      <c r="K1033" t="s">
        <v>280</v>
      </c>
      <c r="L1033">
        <v>57278</v>
      </c>
      <c r="M1033">
        <v>82.1</v>
      </c>
      <c r="N1033">
        <v>97.05</v>
      </c>
      <c r="P1033">
        <v>1</v>
      </c>
      <c r="R1033" t="s">
        <v>23</v>
      </c>
      <c r="S1033" t="s">
        <v>24</v>
      </c>
      <c r="T1033" t="s">
        <v>316</v>
      </c>
    </row>
    <row r="1034" spans="1:20" x14ac:dyDescent="0.25">
      <c r="A1034">
        <v>33</v>
      </c>
      <c r="B1034" t="str">
        <f>HYPERLINK("https://imapinvasives.natureserve.org/imap/services/page/Presence/335534.html", "View")</f>
        <v>View</v>
      </c>
      <c r="C1034">
        <v>335534</v>
      </c>
      <c r="D1034">
        <v>335534</v>
      </c>
      <c r="E1034" t="str">
        <f>HYPERLINK("http://imap3images.s3-website-us-east-1.amazonaws.com/335534/p/photourl1_2013_07_14_jimberry_f0if96rj.jpg", "View")</f>
        <v>View</v>
      </c>
      <c r="F1034" t="s">
        <v>279</v>
      </c>
      <c r="G1034" t="s">
        <v>283</v>
      </c>
      <c r="H1034">
        <v>57278</v>
      </c>
      <c r="I1034" t="str">
        <f>HYPERLINK("https://www.inaturalist.org/taxa/57278-Ailanthus-altissima", "View")</f>
        <v>View</v>
      </c>
      <c r="J1034" t="s">
        <v>279</v>
      </c>
      <c r="K1034" t="s">
        <v>280</v>
      </c>
      <c r="L1034">
        <v>57278</v>
      </c>
      <c r="M1034">
        <v>3.73</v>
      </c>
      <c r="N1034">
        <v>94.91</v>
      </c>
      <c r="P1034">
        <v>1</v>
      </c>
      <c r="R1034" t="s">
        <v>23</v>
      </c>
      <c r="S1034" t="s">
        <v>24</v>
      </c>
      <c r="T1034" t="s">
        <v>316</v>
      </c>
    </row>
    <row r="1035" spans="1:20" x14ac:dyDescent="0.25">
      <c r="A1035">
        <v>34</v>
      </c>
      <c r="B1035" t="str">
        <f>HYPERLINK("https://imapinvasives.natureserve.org/imap/services/page/Presence/1368039.html", "View")</f>
        <v>View</v>
      </c>
      <c r="C1035">
        <v>1368039</v>
      </c>
      <c r="D1035">
        <v>1386089</v>
      </c>
      <c r="E1035" t="str">
        <f>HYPERLINK("http://imap3images.s3-website-us-east-1.amazonaws.com/1386089/p/imap_app_photo_1705412007585.jpg", "View")</f>
        <v>View</v>
      </c>
      <c r="F1035" t="s">
        <v>279</v>
      </c>
      <c r="G1035" t="s">
        <v>283</v>
      </c>
      <c r="H1035">
        <v>57278</v>
      </c>
      <c r="I1035" t="str">
        <f>HYPERLINK("https://www.inaturalist.org/taxa/18463-Sphyrapicus-varius", "View")</f>
        <v>View</v>
      </c>
      <c r="J1035" t="s">
        <v>286</v>
      </c>
      <c r="K1035" t="s">
        <v>287</v>
      </c>
      <c r="L1035">
        <v>18463</v>
      </c>
      <c r="M1035">
        <v>50.93</v>
      </c>
      <c r="N1035">
        <v>6.08</v>
      </c>
      <c r="P1035">
        <v>0</v>
      </c>
      <c r="R1035" t="s">
        <v>29</v>
      </c>
      <c r="S1035" t="s">
        <v>79</v>
      </c>
      <c r="T1035" t="s">
        <v>317</v>
      </c>
    </row>
    <row r="1036" spans="1:20" x14ac:dyDescent="0.25">
      <c r="A1036">
        <v>35</v>
      </c>
      <c r="B1036" t="str">
        <f>HYPERLINK("https://imapinvasives.natureserve.org/imap/services/page/Presence/1331704.html", "View")</f>
        <v>View</v>
      </c>
      <c r="C1036">
        <v>1331704</v>
      </c>
      <c r="D1036">
        <v>1345204</v>
      </c>
      <c r="E1036" t="str">
        <f>HYPERLINK("http://imap3images.s3-website-us-east-1.amazonaws.com/1345204/p/imap_app_photo_1684766445908.jpg", "View")</f>
        <v>View</v>
      </c>
      <c r="F1036" t="s">
        <v>279</v>
      </c>
      <c r="G1036" t="s">
        <v>283</v>
      </c>
      <c r="H1036">
        <v>57278</v>
      </c>
      <c r="I1036" t="str">
        <f>HYPERLINK("https://www.inaturalist.org/taxa/129859-Gleditsia-aquatica", "View")</f>
        <v>View</v>
      </c>
      <c r="J1036" t="s">
        <v>297</v>
      </c>
      <c r="K1036" t="s">
        <v>298</v>
      </c>
      <c r="L1036">
        <v>129859</v>
      </c>
      <c r="M1036">
        <v>0.02</v>
      </c>
      <c r="N1036">
        <v>5.94</v>
      </c>
      <c r="P1036">
        <v>0</v>
      </c>
      <c r="R1036" t="s">
        <v>29</v>
      </c>
      <c r="S1036" t="s">
        <v>24</v>
      </c>
      <c r="T1036" t="s">
        <v>316</v>
      </c>
    </row>
    <row r="1037" spans="1:20" x14ac:dyDescent="0.25">
      <c r="A1037">
        <v>36</v>
      </c>
      <c r="B1037" t="str">
        <f>HYPERLINK("https://imapinvasives.natureserve.org/imap/services/page/Presence/514603.html", "View")</f>
        <v>View</v>
      </c>
      <c r="C1037">
        <v>514603</v>
      </c>
      <c r="D1037">
        <v>514603</v>
      </c>
      <c r="E1037" t="str">
        <f>HYPERLINK("http://imap3images.s3-website-us-east-1.amazonaws.com/514603/p/photourl1_2017_09_07_molcharboneau_awvmh343.jpg", "View")</f>
        <v>View</v>
      </c>
      <c r="F1037" t="s">
        <v>279</v>
      </c>
      <c r="G1037" t="s">
        <v>283</v>
      </c>
      <c r="H1037">
        <v>57278</v>
      </c>
      <c r="I1037" t="str">
        <f>HYPERLINK("https://www.inaturalist.org/taxa/57278-Ailanthus-altissima", "View")</f>
        <v>View</v>
      </c>
      <c r="J1037" t="s">
        <v>279</v>
      </c>
      <c r="K1037" t="s">
        <v>280</v>
      </c>
      <c r="L1037">
        <v>57278</v>
      </c>
      <c r="M1037">
        <v>83.18</v>
      </c>
      <c r="N1037">
        <v>99.73</v>
      </c>
      <c r="P1037">
        <v>1</v>
      </c>
      <c r="R1037" t="s">
        <v>23</v>
      </c>
      <c r="S1037" t="s">
        <v>24</v>
      </c>
      <c r="T1037" t="s">
        <v>316</v>
      </c>
    </row>
    <row r="1038" spans="1:20" x14ac:dyDescent="0.25">
      <c r="A1038">
        <v>37</v>
      </c>
      <c r="B1038" t="str">
        <f>HYPERLINK("https://imapinvasives.natureserve.org/imap/services/page/Presence/1410864.html", "View")</f>
        <v>View</v>
      </c>
      <c r="C1038">
        <v>1410864</v>
      </c>
      <c r="D1038">
        <v>1423404</v>
      </c>
      <c r="E1038" t="str">
        <f>HYPERLINK("http://imap3images.s3-website-us-east-1.amazonaws.com/1423404/p/imap_app_photo_1717960748753.jpg", "View")</f>
        <v>View</v>
      </c>
      <c r="F1038" t="s">
        <v>279</v>
      </c>
      <c r="G1038" t="s">
        <v>283</v>
      </c>
      <c r="H1038">
        <v>57278</v>
      </c>
      <c r="I1038" t="str">
        <f>HYPERLINK("https://www.inaturalist.org/taxa/57278-Ailanthus-altissima", "View")</f>
        <v>View</v>
      </c>
      <c r="J1038" t="s">
        <v>279</v>
      </c>
      <c r="K1038" t="s">
        <v>280</v>
      </c>
      <c r="L1038">
        <v>57278</v>
      </c>
      <c r="M1038">
        <v>82.1</v>
      </c>
      <c r="N1038">
        <v>94.48</v>
      </c>
      <c r="P1038">
        <v>1</v>
      </c>
      <c r="R1038" t="s">
        <v>23</v>
      </c>
      <c r="S1038" t="s">
        <v>24</v>
      </c>
      <c r="T1038" t="s">
        <v>316</v>
      </c>
    </row>
    <row r="1039" spans="1:20" x14ac:dyDescent="0.25">
      <c r="A1039">
        <v>38</v>
      </c>
      <c r="B1039" t="str">
        <f>HYPERLINK("https://imapinvasives.natureserve.org/imap/services/page/Presence/1018521.html", "View")</f>
        <v>View</v>
      </c>
      <c r="C1039">
        <v>1018521</v>
      </c>
      <c r="D1039">
        <v>1019040</v>
      </c>
      <c r="E1039" t="str">
        <f>HYPERLINK("http://imap3images.s3-website-us-east-1.amazonaws.com/1019040/p/hostPhoto-20181010-172826.jpg", "View")</f>
        <v>View</v>
      </c>
      <c r="F1039" t="s">
        <v>279</v>
      </c>
      <c r="G1039" t="s">
        <v>283</v>
      </c>
      <c r="H1039">
        <v>57278</v>
      </c>
      <c r="I1039" t="str">
        <f>HYPERLINK("https://www.inaturalist.org/taxa/56088-Robinia-pseudoacacia", "View")</f>
        <v>View</v>
      </c>
      <c r="J1039" t="s">
        <v>75</v>
      </c>
      <c r="K1039" t="s">
        <v>76</v>
      </c>
      <c r="L1039">
        <v>56088</v>
      </c>
      <c r="M1039">
        <v>23.63</v>
      </c>
      <c r="N1039">
        <v>21.06</v>
      </c>
      <c r="P1039">
        <v>0</v>
      </c>
      <c r="R1039" t="s">
        <v>40</v>
      </c>
      <c r="S1039" t="s">
        <v>33</v>
      </c>
      <c r="T1039" t="s">
        <v>317</v>
      </c>
    </row>
    <row r="1040" spans="1:20" x14ac:dyDescent="0.25">
      <c r="A1040">
        <v>39</v>
      </c>
      <c r="B1040" t="str">
        <f>HYPERLINK("https://imapinvasives.natureserve.org/imap/services/page/Presence/1020242.html", "View")</f>
        <v>View</v>
      </c>
      <c r="C1040">
        <v>1020242</v>
      </c>
      <c r="D1040">
        <v>1020771</v>
      </c>
      <c r="E1040" t="str">
        <f>HYPERLINK("http://imap3images.s3-website-us-east-1.amazonaws.com/1020771/p/imap_app_photo_1562858025065.jpg", "View")</f>
        <v>View</v>
      </c>
      <c r="F1040" t="s">
        <v>279</v>
      </c>
      <c r="G1040" t="s">
        <v>283</v>
      </c>
      <c r="H1040">
        <v>57278</v>
      </c>
      <c r="I1040" t="str">
        <f t="shared" ref="I1040:I1046" si="47">HYPERLINK("https://www.inaturalist.org/taxa/57278-Ailanthus-altissima", "View")</f>
        <v>View</v>
      </c>
      <c r="J1040" t="s">
        <v>279</v>
      </c>
      <c r="K1040" t="s">
        <v>280</v>
      </c>
      <c r="L1040">
        <v>57278</v>
      </c>
      <c r="M1040">
        <v>56.26</v>
      </c>
      <c r="N1040">
        <v>94.28</v>
      </c>
      <c r="P1040">
        <v>1</v>
      </c>
      <c r="R1040" t="s">
        <v>23</v>
      </c>
      <c r="S1040" t="s">
        <v>24</v>
      </c>
      <c r="T1040" t="s">
        <v>316</v>
      </c>
    </row>
    <row r="1041" spans="1:20" x14ac:dyDescent="0.25">
      <c r="A1041">
        <v>40</v>
      </c>
      <c r="B1041" t="str">
        <f>HYPERLINK("https://imapinvasives.natureserve.org/imap/services/page/Presence/1336314.html", "View")</f>
        <v>View</v>
      </c>
      <c r="C1041">
        <v>1336314</v>
      </c>
      <c r="D1041">
        <v>1350688</v>
      </c>
      <c r="E1041" t="str">
        <f>HYPERLINK("http://imap3images.s3-website-us-east-1.amazonaws.com/1350688/p/imap_app_photo_1687445734771.jpg", "View")</f>
        <v>View</v>
      </c>
      <c r="F1041" t="s">
        <v>279</v>
      </c>
      <c r="G1041" t="s">
        <v>283</v>
      </c>
      <c r="H1041">
        <v>57278</v>
      </c>
      <c r="I1041" t="str">
        <f t="shared" si="47"/>
        <v>View</v>
      </c>
      <c r="J1041" t="s">
        <v>279</v>
      </c>
      <c r="K1041" t="s">
        <v>280</v>
      </c>
      <c r="L1041">
        <v>57278</v>
      </c>
      <c r="M1041">
        <v>33.44</v>
      </c>
      <c r="N1041">
        <v>25.39</v>
      </c>
      <c r="P1041">
        <v>1</v>
      </c>
      <c r="R1041" t="s">
        <v>23</v>
      </c>
      <c r="S1041" t="s">
        <v>24</v>
      </c>
      <c r="T1041" t="s">
        <v>316</v>
      </c>
    </row>
    <row r="1042" spans="1:20" x14ac:dyDescent="0.25">
      <c r="A1042">
        <v>41</v>
      </c>
      <c r="B1042" t="str">
        <f>HYPERLINK("https://imapinvasives.natureserve.org/imap/services/page/Presence/1021857.html", "View")</f>
        <v>View</v>
      </c>
      <c r="C1042">
        <v>1021857</v>
      </c>
      <c r="D1042">
        <v>1022402</v>
      </c>
      <c r="E1042" t="str">
        <f>HYPERLINK("http://imap3images.s3-website-us-east-1.amazonaws.com/1022402/p/imap_app_photo_1563311436959.jpg", "View")</f>
        <v>View</v>
      </c>
      <c r="F1042" t="s">
        <v>279</v>
      </c>
      <c r="G1042" t="s">
        <v>283</v>
      </c>
      <c r="H1042">
        <v>57278</v>
      </c>
      <c r="I1042" t="str">
        <f t="shared" si="47"/>
        <v>View</v>
      </c>
      <c r="J1042" t="s">
        <v>279</v>
      </c>
      <c r="K1042" t="s">
        <v>280</v>
      </c>
      <c r="L1042">
        <v>57278</v>
      </c>
      <c r="M1042">
        <v>36</v>
      </c>
      <c r="N1042">
        <v>96.31</v>
      </c>
      <c r="P1042">
        <v>1</v>
      </c>
      <c r="R1042" t="s">
        <v>23</v>
      </c>
      <c r="S1042" t="s">
        <v>24</v>
      </c>
      <c r="T1042" t="s">
        <v>316</v>
      </c>
    </row>
    <row r="1043" spans="1:20" x14ac:dyDescent="0.25">
      <c r="A1043">
        <v>42</v>
      </c>
      <c r="B1043" t="str">
        <f>HYPERLINK("https://imapinvasives.natureserve.org/imap/services/page/Presence/1018061.html", "View")</f>
        <v>View</v>
      </c>
      <c r="C1043">
        <v>1018061</v>
      </c>
      <c r="D1043">
        <v>1018574</v>
      </c>
      <c r="E1043" t="str">
        <f>HYPERLINK("http://imap3images.s3-website-us-east-1.amazonaws.com/1018574/p/hostPhoto-20181005-154815.jpg", "View")</f>
        <v>View</v>
      </c>
      <c r="F1043" t="s">
        <v>279</v>
      </c>
      <c r="G1043" t="s">
        <v>283</v>
      </c>
      <c r="H1043">
        <v>57278</v>
      </c>
      <c r="I1043" t="str">
        <f t="shared" si="47"/>
        <v>View</v>
      </c>
      <c r="J1043" t="s">
        <v>279</v>
      </c>
      <c r="K1043" t="s">
        <v>280</v>
      </c>
      <c r="L1043">
        <v>57278</v>
      </c>
      <c r="M1043">
        <v>7.37</v>
      </c>
      <c r="N1043">
        <v>81.510000000000005</v>
      </c>
      <c r="P1043">
        <v>1</v>
      </c>
      <c r="R1043" t="s">
        <v>23</v>
      </c>
      <c r="S1043" t="s">
        <v>33</v>
      </c>
      <c r="T1043" t="s">
        <v>317</v>
      </c>
    </row>
    <row r="1044" spans="1:20" x14ac:dyDescent="0.25">
      <c r="A1044">
        <v>43</v>
      </c>
      <c r="B1044" t="str">
        <f>HYPERLINK("https://imapinvasives.natureserve.org/imap/services/page/Presence/529962.html", "View")</f>
        <v>View</v>
      </c>
      <c r="C1044">
        <v>529962</v>
      </c>
      <c r="D1044">
        <v>529962</v>
      </c>
      <c r="E1044" t="str">
        <f>HYPERLINK("http://imap3images.s3-website-us-east-1.amazonaws.com/529962/p/photourl1_2018_08_09_falneske_8dcubsoh.jpg", "View")</f>
        <v>View</v>
      </c>
      <c r="F1044" t="s">
        <v>279</v>
      </c>
      <c r="G1044" t="s">
        <v>283</v>
      </c>
      <c r="H1044">
        <v>57278</v>
      </c>
      <c r="I1044" t="str">
        <f t="shared" si="47"/>
        <v>View</v>
      </c>
      <c r="J1044" t="s">
        <v>279</v>
      </c>
      <c r="K1044" t="s">
        <v>280</v>
      </c>
      <c r="L1044">
        <v>57278</v>
      </c>
      <c r="M1044">
        <v>83.18</v>
      </c>
      <c r="N1044">
        <v>91.69</v>
      </c>
      <c r="P1044">
        <v>1</v>
      </c>
      <c r="R1044" t="s">
        <v>23</v>
      </c>
      <c r="S1044" t="s">
        <v>24</v>
      </c>
      <c r="T1044" t="s">
        <v>316</v>
      </c>
    </row>
    <row r="1045" spans="1:20" x14ac:dyDescent="0.25">
      <c r="A1045">
        <v>44</v>
      </c>
      <c r="B1045" t="str">
        <f>HYPERLINK("https://imapinvasives.natureserve.org/imap/services/page/Presence/1153271.html", "View")</f>
        <v>View</v>
      </c>
      <c r="C1045">
        <v>1153271</v>
      </c>
      <c r="D1045">
        <v>1160236</v>
      </c>
      <c r="E1045" t="str">
        <f>HYPERLINK("http://imap3images.s3-website-us-east-1.amazonaws.com/1160236/p/imap_app_photo_1627657979954.jpg", "View")</f>
        <v>View</v>
      </c>
      <c r="F1045" t="s">
        <v>279</v>
      </c>
      <c r="G1045" t="s">
        <v>283</v>
      </c>
      <c r="H1045">
        <v>57278</v>
      </c>
      <c r="I1045" t="str">
        <f t="shared" si="47"/>
        <v>View</v>
      </c>
      <c r="J1045" t="s">
        <v>279</v>
      </c>
      <c r="K1045" t="s">
        <v>280</v>
      </c>
      <c r="L1045">
        <v>57278</v>
      </c>
      <c r="M1045">
        <v>36</v>
      </c>
      <c r="N1045">
        <v>57.62</v>
      </c>
      <c r="P1045">
        <v>1</v>
      </c>
      <c r="R1045" t="s">
        <v>23</v>
      </c>
      <c r="S1045" t="s">
        <v>24</v>
      </c>
      <c r="T1045" t="s">
        <v>316</v>
      </c>
    </row>
    <row r="1046" spans="1:20" x14ac:dyDescent="0.25">
      <c r="A1046">
        <v>45</v>
      </c>
      <c r="B1046" t="str">
        <f>HYPERLINK("https://imapinvasives.natureserve.org/imap/services/page/Presence/1272295.html", "View")</f>
        <v>View</v>
      </c>
      <c r="C1046">
        <v>1272295</v>
      </c>
      <c r="D1046">
        <v>1281318</v>
      </c>
      <c r="E1046" t="str">
        <f>HYPERLINK("http://imap3images.s3-website-us-east-1.amazonaws.com/1281318/p/imap_app_photo_1652958015826.jpg", "View")</f>
        <v>View</v>
      </c>
      <c r="F1046" t="s">
        <v>279</v>
      </c>
      <c r="G1046" t="s">
        <v>283</v>
      </c>
      <c r="H1046">
        <v>57278</v>
      </c>
      <c r="I1046" t="str">
        <f t="shared" si="47"/>
        <v>View</v>
      </c>
      <c r="J1046" t="s">
        <v>279</v>
      </c>
      <c r="K1046" t="s">
        <v>280</v>
      </c>
      <c r="L1046">
        <v>57278</v>
      </c>
      <c r="M1046">
        <v>76.64</v>
      </c>
      <c r="N1046">
        <v>39.68</v>
      </c>
      <c r="P1046">
        <v>1</v>
      </c>
      <c r="R1046" t="s">
        <v>23</v>
      </c>
      <c r="S1046" t="s">
        <v>24</v>
      </c>
      <c r="T1046" t="s">
        <v>316</v>
      </c>
    </row>
    <row r="1047" spans="1:20" x14ac:dyDescent="0.25">
      <c r="A1047">
        <v>46</v>
      </c>
      <c r="B1047" t="str">
        <f>HYPERLINK("https://imapinvasives.natureserve.org/imap/services/page/Presence/1337188.html", "View")</f>
        <v>View</v>
      </c>
      <c r="C1047">
        <v>1337188</v>
      </c>
      <c r="D1047">
        <v>1351704</v>
      </c>
      <c r="E1047" t="str">
        <f>HYPERLINK("http://imap3images.s3-website-us-east-1.amazonaws.com/1351704/p/imap_app_photo_1687635579860.jpg", "View")</f>
        <v>View</v>
      </c>
      <c r="F1047" t="s">
        <v>279</v>
      </c>
      <c r="G1047" t="s">
        <v>283</v>
      </c>
      <c r="H1047">
        <v>57278</v>
      </c>
      <c r="I1047" t="str">
        <f>HYPERLINK("https://www.inaturalist.org/taxa/167829-Rhus-typhina", "View")</f>
        <v>View</v>
      </c>
      <c r="J1047" t="s">
        <v>252</v>
      </c>
      <c r="K1047" t="s">
        <v>253</v>
      </c>
      <c r="L1047">
        <v>167829</v>
      </c>
      <c r="M1047">
        <v>60.85</v>
      </c>
      <c r="N1047">
        <v>50.42</v>
      </c>
      <c r="P1047">
        <v>0</v>
      </c>
      <c r="R1047" t="s">
        <v>29</v>
      </c>
      <c r="S1047" t="s">
        <v>24</v>
      </c>
      <c r="T1047" t="s">
        <v>316</v>
      </c>
    </row>
    <row r="1048" spans="1:20" x14ac:dyDescent="0.25">
      <c r="A1048">
        <v>47</v>
      </c>
      <c r="B1048" t="str">
        <f>HYPERLINK("https://imapinvasives.natureserve.org/imap/services/page/Presence/531907.html", "View")</f>
        <v>View</v>
      </c>
      <c r="C1048">
        <v>531907</v>
      </c>
      <c r="D1048">
        <v>531907</v>
      </c>
      <c r="E1048" t="str">
        <f>HYPERLINK("http://imap3images.s3-website-us-east-1.amazonaws.com/531907/p/photourl2_2018_10_05_laumartin_teitsozh.jpg", "View")</f>
        <v>View</v>
      </c>
      <c r="F1048" t="s">
        <v>279</v>
      </c>
      <c r="G1048" t="s">
        <v>283</v>
      </c>
      <c r="H1048">
        <v>57278</v>
      </c>
      <c r="I1048" t="str">
        <f>HYPERLINK("https://www.inaturalist.org/taxa/490876-Weinmannia-trichosperma", "View")</f>
        <v>View</v>
      </c>
      <c r="J1048" t="s">
        <v>299</v>
      </c>
      <c r="K1048" t="s">
        <v>300</v>
      </c>
      <c r="L1048">
        <v>490876</v>
      </c>
      <c r="M1048">
        <v>0</v>
      </c>
      <c r="N1048">
        <v>17.72</v>
      </c>
      <c r="P1048">
        <v>0</v>
      </c>
      <c r="R1048" t="s">
        <v>29</v>
      </c>
      <c r="S1048" t="s">
        <v>24</v>
      </c>
      <c r="T1048" t="s">
        <v>316</v>
      </c>
    </row>
    <row r="1049" spans="1:20" x14ac:dyDescent="0.25">
      <c r="A1049">
        <v>48</v>
      </c>
      <c r="B1049" t="str">
        <f>HYPERLINK("https://imapinvasives.natureserve.org/imap/services/page/Presence/1150265.html", "View")</f>
        <v>View</v>
      </c>
      <c r="C1049">
        <v>1150265</v>
      </c>
      <c r="D1049">
        <v>1157121</v>
      </c>
      <c r="E1049" t="str">
        <f>HYPERLINK("http://imap3images.s3-website-us-east-1.amazonaws.com/1157121/p/imap_app_photo_1625935878977.jpg", "View")</f>
        <v>View</v>
      </c>
      <c r="F1049" t="s">
        <v>279</v>
      </c>
      <c r="G1049" t="s">
        <v>283</v>
      </c>
      <c r="H1049">
        <v>57278</v>
      </c>
      <c r="I1049" t="str">
        <f>HYPERLINK("https://www.inaturalist.org/taxa/57278-Ailanthus-altissima", "View")</f>
        <v>View</v>
      </c>
      <c r="J1049" t="s">
        <v>279</v>
      </c>
      <c r="K1049" t="s">
        <v>280</v>
      </c>
      <c r="L1049">
        <v>57278</v>
      </c>
      <c r="M1049">
        <v>33.44</v>
      </c>
      <c r="N1049">
        <v>93.42</v>
      </c>
      <c r="P1049">
        <v>1</v>
      </c>
      <c r="R1049" t="s">
        <v>23</v>
      </c>
      <c r="S1049" t="s">
        <v>24</v>
      </c>
      <c r="T1049" t="s">
        <v>316</v>
      </c>
    </row>
    <row r="1050" spans="1:20" x14ac:dyDescent="0.25">
      <c r="A1050">
        <v>49</v>
      </c>
      <c r="B1050" t="str">
        <f>HYPERLINK("https://imapinvasives.natureserve.org/imap/services/page/Presence/1254290.html", "View")</f>
        <v>View</v>
      </c>
      <c r="C1050">
        <v>1254290</v>
      </c>
      <c r="D1050">
        <v>1262870</v>
      </c>
      <c r="E1050" t="str">
        <f>HYPERLINK("http://imap3images.s3-website-us-east-1.amazonaws.com/1262870/p/imap_app_photo_1646776482168.jpg", "View")</f>
        <v>View</v>
      </c>
      <c r="F1050" t="s">
        <v>279</v>
      </c>
      <c r="G1050" t="s">
        <v>283</v>
      </c>
      <c r="H1050">
        <v>57278</v>
      </c>
      <c r="I1050" t="str">
        <f>HYPERLINK("https://www.inaturalist.org/taxa/166636-Phellodendron-amurense", "View")</f>
        <v>View</v>
      </c>
      <c r="J1050" t="s">
        <v>301</v>
      </c>
      <c r="K1050" t="s">
        <v>302</v>
      </c>
      <c r="L1050">
        <v>166636</v>
      </c>
      <c r="M1050">
        <v>12.65</v>
      </c>
      <c r="N1050">
        <v>15.81</v>
      </c>
      <c r="P1050">
        <v>0</v>
      </c>
      <c r="R1050" t="s">
        <v>29</v>
      </c>
      <c r="S1050" t="s">
        <v>79</v>
      </c>
      <c r="T1050" t="s">
        <v>317</v>
      </c>
    </row>
    <row r="1051" spans="1:20" x14ac:dyDescent="0.25">
      <c r="A1051">
        <v>50</v>
      </c>
      <c r="B1051" t="str">
        <f>HYPERLINK("https://imapinvasives.natureserve.org/imap/services/page/Presence/532121.html", "View")</f>
        <v>View</v>
      </c>
      <c r="C1051">
        <v>532121</v>
      </c>
      <c r="D1051">
        <v>532121</v>
      </c>
      <c r="E1051" t="str">
        <f>HYPERLINK("http://imap3images.s3-website-us-east-1.amazonaws.com/532121/p/photourl1_2018_10_15_devrao_979my4rm.jpg", "View")</f>
        <v>View</v>
      </c>
      <c r="F1051" t="s">
        <v>279</v>
      </c>
      <c r="G1051" t="s">
        <v>283</v>
      </c>
      <c r="H1051">
        <v>57278</v>
      </c>
      <c r="I1051" t="str">
        <f>HYPERLINK("https://www.inaturalist.org/taxa/54504-Juglans-nigra", "View")</f>
        <v>View</v>
      </c>
      <c r="J1051" t="s">
        <v>291</v>
      </c>
      <c r="K1051" t="s">
        <v>292</v>
      </c>
      <c r="L1051">
        <v>54504</v>
      </c>
      <c r="M1051">
        <v>9.74</v>
      </c>
      <c r="N1051">
        <v>12.55</v>
      </c>
      <c r="P1051">
        <v>0</v>
      </c>
      <c r="R1051" t="s">
        <v>29</v>
      </c>
      <c r="S1051" t="s">
        <v>34</v>
      </c>
      <c r="T1051" t="s">
        <v>317</v>
      </c>
    </row>
    <row r="1052" spans="1:20" x14ac:dyDescent="0.25">
      <c r="A1052">
        <v>51</v>
      </c>
      <c r="B1052" t="str">
        <f>HYPERLINK("https://imapinvasives.natureserve.org/imap/services/page/Presence/1023975.html", "View")</f>
        <v>View</v>
      </c>
      <c r="C1052">
        <v>1023975</v>
      </c>
      <c r="D1052">
        <v>1024638</v>
      </c>
      <c r="E1052" t="str">
        <f>HYPERLINK("http://imap3images.s3-website-us-east-1.amazonaws.com/1024638/p/treeofheaven39.jpg", "View")</f>
        <v>View</v>
      </c>
      <c r="F1052" t="s">
        <v>279</v>
      </c>
      <c r="G1052" t="s">
        <v>283</v>
      </c>
      <c r="H1052">
        <v>57278</v>
      </c>
      <c r="I1052" t="str">
        <f t="shared" ref="I1052:I1057" si="48">HYPERLINK("https://www.inaturalist.org/taxa/57278-Ailanthus-altissima", "View")</f>
        <v>View</v>
      </c>
      <c r="J1052" t="s">
        <v>279</v>
      </c>
      <c r="K1052" t="s">
        <v>280</v>
      </c>
      <c r="L1052">
        <v>57278</v>
      </c>
      <c r="M1052">
        <v>76.64</v>
      </c>
      <c r="N1052">
        <v>52.49</v>
      </c>
      <c r="P1052">
        <v>1</v>
      </c>
      <c r="R1052" t="s">
        <v>23</v>
      </c>
      <c r="S1052" t="s">
        <v>34</v>
      </c>
      <c r="T1052" t="s">
        <v>317</v>
      </c>
    </row>
    <row r="1053" spans="1:20" x14ac:dyDescent="0.25">
      <c r="A1053">
        <v>52</v>
      </c>
      <c r="B1053" t="str">
        <f>HYPERLINK("https://imapinvasives.natureserve.org/imap/services/page/Presence/1018121.html", "View")</f>
        <v>View</v>
      </c>
      <c r="C1053">
        <v>1018121</v>
      </c>
      <c r="D1053">
        <v>1018637</v>
      </c>
      <c r="E1053" t="str">
        <f>HYPERLINK("http://imap3images.s3-website-us-east-1.amazonaws.com/1018637/p/hostPhoto-20181022-152558.jpg", "View")</f>
        <v>View</v>
      </c>
      <c r="F1053" t="s">
        <v>279</v>
      </c>
      <c r="G1053" t="s">
        <v>283</v>
      </c>
      <c r="H1053">
        <v>57278</v>
      </c>
      <c r="I1053" t="str">
        <f t="shared" si="48"/>
        <v>View</v>
      </c>
      <c r="J1053" t="s">
        <v>279</v>
      </c>
      <c r="K1053" t="s">
        <v>280</v>
      </c>
      <c r="L1053">
        <v>57278</v>
      </c>
      <c r="M1053">
        <v>3.67</v>
      </c>
      <c r="N1053">
        <v>42.13</v>
      </c>
      <c r="P1053">
        <v>1</v>
      </c>
      <c r="R1053" t="s">
        <v>23</v>
      </c>
      <c r="S1053" t="s">
        <v>24</v>
      </c>
      <c r="T1053" t="s">
        <v>316</v>
      </c>
    </row>
    <row r="1054" spans="1:20" x14ac:dyDescent="0.25">
      <c r="A1054">
        <v>53</v>
      </c>
      <c r="B1054" t="str">
        <f>HYPERLINK("https://imapinvasives.natureserve.org/imap/services/page/Presence/528021.html", "View")</f>
        <v>View</v>
      </c>
      <c r="C1054">
        <v>528021</v>
      </c>
      <c r="D1054">
        <v>528021</v>
      </c>
      <c r="E1054" t="str">
        <f>HYPERLINK("http://imap3images.s3-website-us-east-1.amazonaws.com/528021/p/photourl1_2018_07_03_josmarquez_ali5n09w.jpg", "View")</f>
        <v>View</v>
      </c>
      <c r="F1054" t="s">
        <v>279</v>
      </c>
      <c r="G1054" t="s">
        <v>283</v>
      </c>
      <c r="H1054">
        <v>57278</v>
      </c>
      <c r="I1054" t="str">
        <f t="shared" si="48"/>
        <v>View</v>
      </c>
      <c r="J1054" t="s">
        <v>279</v>
      </c>
      <c r="K1054" t="s">
        <v>280</v>
      </c>
      <c r="L1054">
        <v>57278</v>
      </c>
      <c r="M1054">
        <v>82.1</v>
      </c>
      <c r="N1054">
        <v>77.62</v>
      </c>
      <c r="P1054">
        <v>1</v>
      </c>
      <c r="R1054" t="s">
        <v>23</v>
      </c>
      <c r="S1054" t="s">
        <v>24</v>
      </c>
      <c r="T1054" t="s">
        <v>316</v>
      </c>
    </row>
    <row r="1055" spans="1:20" x14ac:dyDescent="0.25">
      <c r="A1055">
        <v>54</v>
      </c>
      <c r="B1055" t="str">
        <f>HYPERLINK("https://imapinvasives.natureserve.org/imap/services/page/Presence/1298920.html", "View")</f>
        <v>View</v>
      </c>
      <c r="C1055">
        <v>1298920</v>
      </c>
      <c r="D1055">
        <v>1309252</v>
      </c>
      <c r="E1055" t="str">
        <f>HYPERLINK("http://imap3images.s3-website-us-east-1.amazonaws.com/1309252/p/IMG_4863.jpg", "View")</f>
        <v>View</v>
      </c>
      <c r="F1055" t="s">
        <v>279</v>
      </c>
      <c r="G1055" t="s">
        <v>283</v>
      </c>
      <c r="H1055">
        <v>57278</v>
      </c>
      <c r="I1055" t="str">
        <f t="shared" si="48"/>
        <v>View</v>
      </c>
      <c r="J1055" t="s">
        <v>279</v>
      </c>
      <c r="K1055" t="s">
        <v>280</v>
      </c>
      <c r="L1055">
        <v>57278</v>
      </c>
      <c r="M1055">
        <v>24.01</v>
      </c>
      <c r="N1055">
        <v>96.72</v>
      </c>
      <c r="P1055">
        <v>1</v>
      </c>
      <c r="R1055" t="s">
        <v>23</v>
      </c>
      <c r="S1055" t="s">
        <v>24</v>
      </c>
      <c r="T1055" t="s">
        <v>316</v>
      </c>
    </row>
    <row r="1056" spans="1:20" x14ac:dyDescent="0.25">
      <c r="A1056">
        <v>55</v>
      </c>
      <c r="B1056" t="str">
        <f>HYPERLINK("https://imapinvasives.natureserve.org/imap/services/page/Presence/1160311.html", "View")</f>
        <v>View</v>
      </c>
      <c r="C1056">
        <v>1160311</v>
      </c>
      <c r="D1056">
        <v>1167422</v>
      </c>
      <c r="E1056" t="str">
        <f>HYPERLINK("http://imap3images.s3-website-us-east-1.amazonaws.com/1167422/p/imap_app_photo_1630082069196.jpg", "View")</f>
        <v>View</v>
      </c>
      <c r="F1056" t="s">
        <v>279</v>
      </c>
      <c r="G1056" t="s">
        <v>283</v>
      </c>
      <c r="H1056">
        <v>57278</v>
      </c>
      <c r="I1056" t="str">
        <f t="shared" si="48"/>
        <v>View</v>
      </c>
      <c r="J1056" t="s">
        <v>279</v>
      </c>
      <c r="K1056" t="s">
        <v>280</v>
      </c>
      <c r="L1056">
        <v>57278</v>
      </c>
      <c r="M1056">
        <v>36</v>
      </c>
      <c r="N1056">
        <v>96.23</v>
      </c>
      <c r="P1056">
        <v>1</v>
      </c>
      <c r="R1056" t="s">
        <v>23</v>
      </c>
      <c r="S1056" t="s">
        <v>24</v>
      </c>
      <c r="T1056" t="s">
        <v>316</v>
      </c>
    </row>
    <row r="1057" spans="1:20" x14ac:dyDescent="0.25">
      <c r="A1057">
        <v>56</v>
      </c>
      <c r="B1057" t="str">
        <f>HYPERLINK("https://imapinvasives.natureserve.org/imap/services/page/Presence/1361987.html", "View")</f>
        <v>View</v>
      </c>
      <c r="C1057">
        <v>1361987</v>
      </c>
      <c r="D1057">
        <v>1379627</v>
      </c>
      <c r="E1057" t="str">
        <f>HYPERLINK("http://imap3images.s3-website-us-east-1.amazonaws.com/1379627/p/imap_app_photo_1698260511297.jpg", "View")</f>
        <v>View</v>
      </c>
      <c r="F1057" t="s">
        <v>279</v>
      </c>
      <c r="G1057" t="s">
        <v>283</v>
      </c>
      <c r="H1057">
        <v>57278</v>
      </c>
      <c r="I1057" t="str">
        <f t="shared" si="48"/>
        <v>View</v>
      </c>
      <c r="J1057" t="s">
        <v>279</v>
      </c>
      <c r="K1057" t="s">
        <v>280</v>
      </c>
      <c r="L1057">
        <v>57278</v>
      </c>
      <c r="M1057">
        <v>27.06</v>
      </c>
      <c r="N1057">
        <v>95.96</v>
      </c>
      <c r="P1057">
        <v>1</v>
      </c>
      <c r="R1057" t="s">
        <v>23</v>
      </c>
      <c r="S1057" t="s">
        <v>24</v>
      </c>
      <c r="T1057" t="s">
        <v>316</v>
      </c>
    </row>
    <row r="1058" spans="1:20" x14ac:dyDescent="0.25">
      <c r="A1058">
        <v>57</v>
      </c>
      <c r="B1058" t="str">
        <f>HYPERLINK("https://imapinvasives.natureserve.org/imap/services/page/Presence/1435288.html", "View")</f>
        <v>View</v>
      </c>
      <c r="C1058">
        <v>1435288</v>
      </c>
      <c r="D1058">
        <v>1448989</v>
      </c>
      <c r="E1058" t="str">
        <f>HYPERLINK("http://imap3images.s3-website-us-east-1.amazonaws.com/1448989/p/imap_app_photo_1721408565434.jpg", "View")</f>
        <v>View</v>
      </c>
      <c r="F1058" t="s">
        <v>279</v>
      </c>
      <c r="G1058" t="s">
        <v>283</v>
      </c>
      <c r="H1058">
        <v>57278</v>
      </c>
      <c r="I1058" t="str">
        <f>HYPERLINK("https://www.inaturalist.org/taxa/53582-Liriodendron-tulipifera", "View")</f>
        <v>View</v>
      </c>
      <c r="J1058" t="s">
        <v>303</v>
      </c>
      <c r="K1058" t="s">
        <v>304</v>
      </c>
      <c r="L1058">
        <v>53582</v>
      </c>
      <c r="M1058">
        <v>24.4</v>
      </c>
      <c r="N1058">
        <v>11.55</v>
      </c>
      <c r="P1058">
        <v>0</v>
      </c>
      <c r="R1058" t="s">
        <v>29</v>
      </c>
      <c r="S1058" t="s">
        <v>24</v>
      </c>
      <c r="T1058" t="s">
        <v>316</v>
      </c>
    </row>
    <row r="1059" spans="1:20" x14ac:dyDescent="0.25">
      <c r="A1059">
        <v>58</v>
      </c>
      <c r="B1059" t="str">
        <f>HYPERLINK("https://imapinvasives.natureserve.org/imap/services/page/Presence/1436572.html", "View")</f>
        <v>View</v>
      </c>
      <c r="C1059">
        <v>1436572</v>
      </c>
      <c r="D1059">
        <v>1450595</v>
      </c>
      <c r="E1059" t="str">
        <f>HYPERLINK("http://imap3images.s3-website-us-east-1.amazonaws.com/1450595/p/imap_app_photo_1721857119865.jpg", "View")</f>
        <v>View</v>
      </c>
      <c r="F1059" t="s">
        <v>279</v>
      </c>
      <c r="G1059" t="s">
        <v>283</v>
      </c>
      <c r="H1059">
        <v>57278</v>
      </c>
      <c r="I1059" t="str">
        <f t="shared" ref="I1059:I1069" si="49">HYPERLINK("https://www.inaturalist.org/taxa/57278-Ailanthus-altissima", "View")</f>
        <v>View</v>
      </c>
      <c r="J1059" t="s">
        <v>279</v>
      </c>
      <c r="K1059" t="s">
        <v>280</v>
      </c>
      <c r="L1059">
        <v>57278</v>
      </c>
      <c r="M1059">
        <v>18.649999999999999</v>
      </c>
      <c r="N1059">
        <v>93.53</v>
      </c>
      <c r="P1059">
        <v>1</v>
      </c>
      <c r="R1059" t="s">
        <v>23</v>
      </c>
      <c r="S1059" t="s">
        <v>24</v>
      </c>
      <c r="T1059" t="s">
        <v>316</v>
      </c>
    </row>
    <row r="1060" spans="1:20" x14ac:dyDescent="0.25">
      <c r="A1060">
        <v>59</v>
      </c>
      <c r="B1060" t="str">
        <f>HYPERLINK("https://imapinvasives.natureserve.org/imap/services/page/Presence/1020241.html", "View")</f>
        <v>View</v>
      </c>
      <c r="C1060">
        <v>1020241</v>
      </c>
      <c r="D1060">
        <v>1020770</v>
      </c>
      <c r="E1060" t="str">
        <f>HYPERLINK("http://imap3images.s3-website-us-east-1.amazonaws.com/1020770/p/imap_app_photo_1562858022384.jpg", "View")</f>
        <v>View</v>
      </c>
      <c r="F1060" t="s">
        <v>279</v>
      </c>
      <c r="G1060" t="s">
        <v>283</v>
      </c>
      <c r="H1060">
        <v>57278</v>
      </c>
      <c r="I1060" t="str">
        <f t="shared" si="49"/>
        <v>View</v>
      </c>
      <c r="J1060" t="s">
        <v>279</v>
      </c>
      <c r="K1060" t="s">
        <v>280</v>
      </c>
      <c r="L1060">
        <v>57278</v>
      </c>
      <c r="M1060">
        <v>56.26</v>
      </c>
      <c r="N1060">
        <v>71.98</v>
      </c>
      <c r="P1060">
        <v>1</v>
      </c>
      <c r="R1060" t="s">
        <v>23</v>
      </c>
      <c r="S1060" t="s">
        <v>24</v>
      </c>
      <c r="T1060" t="s">
        <v>316</v>
      </c>
    </row>
    <row r="1061" spans="1:20" x14ac:dyDescent="0.25">
      <c r="A1061">
        <v>60</v>
      </c>
      <c r="B1061" t="str">
        <f>HYPERLINK("https://imapinvasives.natureserve.org/imap/services/page/Presence/1334348.html", "View")</f>
        <v>View</v>
      </c>
      <c r="C1061">
        <v>1334348</v>
      </c>
      <c r="D1061">
        <v>1348467</v>
      </c>
      <c r="E1061" t="str">
        <f>HYPERLINK("http://imap3images.s3-website-us-east-1.amazonaws.com/1348467/p/imap_app_photo_1686071271059.jpg", "View")</f>
        <v>View</v>
      </c>
      <c r="F1061" t="s">
        <v>279</v>
      </c>
      <c r="G1061" t="s">
        <v>283</v>
      </c>
      <c r="H1061">
        <v>57278</v>
      </c>
      <c r="I1061" t="str">
        <f t="shared" si="49"/>
        <v>View</v>
      </c>
      <c r="J1061" t="s">
        <v>279</v>
      </c>
      <c r="K1061" t="s">
        <v>280</v>
      </c>
      <c r="L1061">
        <v>57278</v>
      </c>
      <c r="M1061">
        <v>27.06</v>
      </c>
      <c r="N1061">
        <v>99.05</v>
      </c>
      <c r="P1061">
        <v>1</v>
      </c>
      <c r="R1061" t="s">
        <v>23</v>
      </c>
      <c r="S1061" t="s">
        <v>24</v>
      </c>
      <c r="T1061" t="s">
        <v>316</v>
      </c>
    </row>
    <row r="1062" spans="1:20" x14ac:dyDescent="0.25">
      <c r="A1062">
        <v>61</v>
      </c>
      <c r="B1062" t="str">
        <f>HYPERLINK("https://imapinvasives.natureserve.org/imap/services/page/Presence/1437977.html", "View")</f>
        <v>View</v>
      </c>
      <c r="C1062">
        <v>1437977</v>
      </c>
      <c r="D1062">
        <v>1452219</v>
      </c>
      <c r="E1062" t="str">
        <f>HYPERLINK("http://imap3images.s3-website-us-east-1.amazonaws.com/1452219/p/imap_app_photo_1722278173736.jpg", "View")</f>
        <v>View</v>
      </c>
      <c r="F1062" t="s">
        <v>279</v>
      </c>
      <c r="G1062" t="s">
        <v>283</v>
      </c>
      <c r="H1062">
        <v>57278</v>
      </c>
      <c r="I1062" t="str">
        <f t="shared" si="49"/>
        <v>View</v>
      </c>
      <c r="J1062" t="s">
        <v>279</v>
      </c>
      <c r="K1062" t="s">
        <v>280</v>
      </c>
      <c r="L1062">
        <v>57278</v>
      </c>
      <c r="M1062">
        <v>27.06</v>
      </c>
      <c r="N1062">
        <v>98.62</v>
      </c>
      <c r="P1062">
        <v>1</v>
      </c>
      <c r="R1062" t="s">
        <v>23</v>
      </c>
      <c r="S1062" t="s">
        <v>24</v>
      </c>
      <c r="T1062" t="s">
        <v>316</v>
      </c>
    </row>
    <row r="1063" spans="1:20" x14ac:dyDescent="0.25">
      <c r="A1063">
        <v>62</v>
      </c>
      <c r="B1063" t="str">
        <f>HYPERLINK("https://imapinvasives.natureserve.org/imap/services/page/Presence/1438674.html", "View")</f>
        <v>View</v>
      </c>
      <c r="C1063">
        <v>1438674</v>
      </c>
      <c r="D1063">
        <v>1452942</v>
      </c>
      <c r="E1063" t="str">
        <f>HYPERLINK("http://imap3images.s3-website-us-east-1.amazonaws.com/1452942/p/imap_app_photo_1722695603538.jpg", "View")</f>
        <v>View</v>
      </c>
      <c r="F1063" t="s">
        <v>279</v>
      </c>
      <c r="G1063" t="s">
        <v>283</v>
      </c>
      <c r="H1063">
        <v>57278</v>
      </c>
      <c r="I1063" t="str">
        <f t="shared" si="49"/>
        <v>View</v>
      </c>
      <c r="J1063" t="s">
        <v>279</v>
      </c>
      <c r="K1063" t="s">
        <v>280</v>
      </c>
      <c r="L1063">
        <v>57278</v>
      </c>
      <c r="M1063">
        <v>36</v>
      </c>
      <c r="N1063">
        <v>90.36</v>
      </c>
      <c r="P1063">
        <v>1</v>
      </c>
      <c r="R1063" t="s">
        <v>23</v>
      </c>
      <c r="S1063" t="s">
        <v>24</v>
      </c>
      <c r="T1063" t="s">
        <v>316</v>
      </c>
    </row>
    <row r="1064" spans="1:20" x14ac:dyDescent="0.25">
      <c r="A1064">
        <v>63</v>
      </c>
      <c r="B1064" t="str">
        <f>HYPERLINK("https://imapinvasives.natureserve.org/imap/services/page/Presence/531466.html", "View")</f>
        <v>View</v>
      </c>
      <c r="C1064">
        <v>531466</v>
      </c>
      <c r="D1064">
        <v>531466</v>
      </c>
      <c r="E1064" t="str">
        <f>HYPERLINK("http://imap3images.s3-website-us-east-1.amazonaws.com/531466/p/photourl1_2018_09_24_mertaylor_jynj56l7.jpg", "View")</f>
        <v>View</v>
      </c>
      <c r="F1064" t="s">
        <v>279</v>
      </c>
      <c r="G1064" t="s">
        <v>283</v>
      </c>
      <c r="H1064">
        <v>57278</v>
      </c>
      <c r="I1064" t="str">
        <f t="shared" si="49"/>
        <v>View</v>
      </c>
      <c r="J1064" t="s">
        <v>279</v>
      </c>
      <c r="K1064" t="s">
        <v>280</v>
      </c>
      <c r="L1064">
        <v>57278</v>
      </c>
      <c r="M1064">
        <v>64.84</v>
      </c>
      <c r="N1064">
        <v>90.76</v>
      </c>
      <c r="P1064">
        <v>1</v>
      </c>
      <c r="R1064" t="s">
        <v>23</v>
      </c>
      <c r="S1064" t="s">
        <v>24</v>
      </c>
      <c r="T1064" t="s">
        <v>316</v>
      </c>
    </row>
    <row r="1065" spans="1:20" x14ac:dyDescent="0.25">
      <c r="A1065">
        <v>64</v>
      </c>
      <c r="B1065" t="str">
        <f>HYPERLINK("https://imapinvasives.natureserve.org/imap/services/page/Presence/1052259.html", "View")</f>
        <v>View</v>
      </c>
      <c r="C1065">
        <v>1052259</v>
      </c>
      <c r="D1065">
        <v>1056468</v>
      </c>
      <c r="E1065" t="str">
        <f>HYPERLINK("http://imap3images.s3-website-us-east-1.amazonaws.com/1056468/p/imap_app_photo_1593274700559.jpg", "View")</f>
        <v>View</v>
      </c>
      <c r="F1065" t="s">
        <v>279</v>
      </c>
      <c r="G1065" t="s">
        <v>283</v>
      </c>
      <c r="H1065">
        <v>57278</v>
      </c>
      <c r="I1065" t="str">
        <f t="shared" si="49"/>
        <v>View</v>
      </c>
      <c r="J1065" t="s">
        <v>279</v>
      </c>
      <c r="K1065" t="s">
        <v>280</v>
      </c>
      <c r="L1065">
        <v>57278</v>
      </c>
      <c r="M1065">
        <v>82.1</v>
      </c>
      <c r="N1065">
        <v>61.69</v>
      </c>
      <c r="P1065">
        <v>1</v>
      </c>
      <c r="R1065" t="s">
        <v>23</v>
      </c>
      <c r="S1065" t="s">
        <v>24</v>
      </c>
      <c r="T1065" t="s">
        <v>316</v>
      </c>
    </row>
    <row r="1066" spans="1:20" x14ac:dyDescent="0.25">
      <c r="A1066">
        <v>65</v>
      </c>
      <c r="B1066" t="str">
        <f>HYPERLINK("https://imapinvasives.natureserve.org/imap/services/page/Presence/1019286.html", "View")</f>
        <v>View</v>
      </c>
      <c r="C1066">
        <v>1019286</v>
      </c>
      <c r="D1066">
        <v>1019807</v>
      </c>
      <c r="E1066" t="str">
        <f>HYPERLINK("http://imap3images.s3-website-us-east-1.amazonaws.com/1019807/p/imap_app_photo_1562432422347.jpg", "View")</f>
        <v>View</v>
      </c>
      <c r="F1066" t="s">
        <v>279</v>
      </c>
      <c r="G1066" t="s">
        <v>283</v>
      </c>
      <c r="H1066">
        <v>57278</v>
      </c>
      <c r="I1066" t="str">
        <f t="shared" si="49"/>
        <v>View</v>
      </c>
      <c r="J1066" t="s">
        <v>279</v>
      </c>
      <c r="K1066" t="s">
        <v>280</v>
      </c>
      <c r="L1066">
        <v>57278</v>
      </c>
      <c r="M1066">
        <v>18.649999999999999</v>
      </c>
      <c r="N1066">
        <v>99.44</v>
      </c>
      <c r="P1066">
        <v>1</v>
      </c>
      <c r="R1066" t="s">
        <v>23</v>
      </c>
      <c r="S1066" t="s">
        <v>24</v>
      </c>
      <c r="T1066" t="s">
        <v>316</v>
      </c>
    </row>
    <row r="1067" spans="1:20" x14ac:dyDescent="0.25">
      <c r="A1067">
        <v>66</v>
      </c>
      <c r="B1067" t="str">
        <f>HYPERLINK("https://imapinvasives.natureserve.org/imap/services/page/Presence/1158457.html", "View")</f>
        <v>View</v>
      </c>
      <c r="C1067">
        <v>1158457</v>
      </c>
      <c r="D1067">
        <v>1165528</v>
      </c>
      <c r="E1067" t="str">
        <f>HYPERLINK("http://imap3images.s3-website-us-east-1.amazonaws.com/1165528/p/imap_app_photo_1629126518009.jpg", "View")</f>
        <v>View</v>
      </c>
      <c r="F1067" t="s">
        <v>279</v>
      </c>
      <c r="G1067" t="s">
        <v>283</v>
      </c>
      <c r="H1067">
        <v>57278</v>
      </c>
      <c r="I1067" t="str">
        <f t="shared" si="49"/>
        <v>View</v>
      </c>
      <c r="J1067" t="s">
        <v>279</v>
      </c>
      <c r="K1067" t="s">
        <v>280</v>
      </c>
      <c r="L1067">
        <v>57278</v>
      </c>
      <c r="M1067">
        <v>10.53</v>
      </c>
      <c r="N1067">
        <v>97.24</v>
      </c>
      <c r="P1067">
        <v>1</v>
      </c>
      <c r="R1067" t="s">
        <v>23</v>
      </c>
      <c r="S1067" t="s">
        <v>24</v>
      </c>
      <c r="T1067" t="s">
        <v>316</v>
      </c>
    </row>
    <row r="1068" spans="1:20" x14ac:dyDescent="0.25">
      <c r="A1068">
        <v>67</v>
      </c>
      <c r="B1068" t="str">
        <f>HYPERLINK("https://imapinvasives.natureserve.org/imap/services/page/Presence/513349.html", "View")</f>
        <v>View</v>
      </c>
      <c r="C1068">
        <v>513349</v>
      </c>
      <c r="D1068">
        <v>513349</v>
      </c>
      <c r="E1068" t="str">
        <f>HYPERLINK("http://imap3images.s3-website-us-east-1.amazonaws.com/513349/p/photourl1_2017_07_25_lindombroskie_ux8sl8ei.jpg", "View")</f>
        <v>View</v>
      </c>
      <c r="F1068" t="s">
        <v>279</v>
      </c>
      <c r="G1068" t="s">
        <v>283</v>
      </c>
      <c r="H1068">
        <v>57278</v>
      </c>
      <c r="I1068" t="str">
        <f t="shared" si="49"/>
        <v>View</v>
      </c>
      <c r="J1068" t="s">
        <v>279</v>
      </c>
      <c r="K1068" t="s">
        <v>280</v>
      </c>
      <c r="L1068">
        <v>57278</v>
      </c>
      <c r="M1068">
        <v>5.49</v>
      </c>
      <c r="N1068">
        <v>94.01</v>
      </c>
      <c r="P1068">
        <v>1</v>
      </c>
      <c r="R1068" t="s">
        <v>23</v>
      </c>
      <c r="S1068" t="s">
        <v>24</v>
      </c>
      <c r="T1068" t="s">
        <v>316</v>
      </c>
    </row>
    <row r="1069" spans="1:20" x14ac:dyDescent="0.25">
      <c r="A1069">
        <v>68</v>
      </c>
      <c r="B1069" t="str">
        <f>HYPERLINK("https://imapinvasives.natureserve.org/imap/services/page/Presence/1056422.html", "View")</f>
        <v>View</v>
      </c>
      <c r="C1069">
        <v>1056422</v>
      </c>
      <c r="D1069">
        <v>1060877</v>
      </c>
      <c r="E1069" t="str">
        <f>HYPERLINK("http://imap3images.s3-website-us-east-1.amazonaws.com/1060877/p/imap_app_photo_1594902707445.jpg", "View")</f>
        <v>View</v>
      </c>
      <c r="F1069" t="s">
        <v>279</v>
      </c>
      <c r="G1069" t="s">
        <v>283</v>
      </c>
      <c r="H1069">
        <v>57278</v>
      </c>
      <c r="I1069" t="str">
        <f t="shared" si="49"/>
        <v>View</v>
      </c>
      <c r="J1069" t="s">
        <v>279</v>
      </c>
      <c r="K1069" t="s">
        <v>280</v>
      </c>
      <c r="L1069">
        <v>57278</v>
      </c>
      <c r="M1069">
        <v>64.84</v>
      </c>
      <c r="N1069">
        <v>97.35</v>
      </c>
      <c r="P1069">
        <v>1</v>
      </c>
      <c r="R1069" t="s">
        <v>23</v>
      </c>
      <c r="S1069" t="s">
        <v>24</v>
      </c>
      <c r="T1069" t="s">
        <v>316</v>
      </c>
    </row>
    <row r="1070" spans="1:20" x14ac:dyDescent="0.25">
      <c r="A1070">
        <v>69</v>
      </c>
      <c r="B1070" t="str">
        <f>HYPERLINK("https://imapinvasives.natureserve.org/imap/services/page/Presence/1038106.html", "View")</f>
        <v>View</v>
      </c>
      <c r="C1070">
        <v>1038106</v>
      </c>
      <c r="D1070">
        <v>1041464</v>
      </c>
      <c r="E1070" t="str">
        <f>HYPERLINK("http://imap3images.s3-website-us-east-1.amazonaws.com/1041464/p/attachment2.jpg", "View")</f>
        <v>View</v>
      </c>
      <c r="F1070" t="s">
        <v>279</v>
      </c>
      <c r="G1070" t="s">
        <v>283</v>
      </c>
      <c r="H1070">
        <v>57278</v>
      </c>
      <c r="I1070" t="str">
        <f>HYPERLINK("https://www.inaturalist.org/taxa/160169-Caryota-mitis", "View")</f>
        <v>View</v>
      </c>
      <c r="J1070" t="s">
        <v>305</v>
      </c>
      <c r="K1070" t="s">
        <v>306</v>
      </c>
      <c r="L1070">
        <v>160169</v>
      </c>
      <c r="M1070">
        <v>0</v>
      </c>
      <c r="N1070">
        <v>7.19</v>
      </c>
      <c r="P1070">
        <v>0</v>
      </c>
      <c r="R1070" t="s">
        <v>29</v>
      </c>
      <c r="S1070" t="s">
        <v>64</v>
      </c>
      <c r="T1070" t="s">
        <v>317</v>
      </c>
    </row>
    <row r="1071" spans="1:20" x14ac:dyDescent="0.25">
      <c r="A1071">
        <v>70</v>
      </c>
      <c r="B1071" t="str">
        <f>HYPERLINK("https://imapinvasives.natureserve.org/imap/services/page/Presence/1056423.html", "View")</f>
        <v>View</v>
      </c>
      <c r="C1071">
        <v>1056423</v>
      </c>
      <c r="D1071">
        <v>1060878</v>
      </c>
      <c r="E1071" t="str">
        <f>HYPERLINK("http://imap3images.s3-website-us-east-1.amazonaws.com/1060878/p/imap_app_photo_1594902712647.jpg", "View")</f>
        <v>View</v>
      </c>
      <c r="F1071" t="s">
        <v>279</v>
      </c>
      <c r="G1071" t="s">
        <v>283</v>
      </c>
      <c r="H1071">
        <v>57278</v>
      </c>
      <c r="I1071" t="str">
        <f>HYPERLINK("https://www.inaturalist.org/taxa/57278-Ailanthus-altissima", "View")</f>
        <v>View</v>
      </c>
      <c r="J1071" t="s">
        <v>279</v>
      </c>
      <c r="K1071" t="s">
        <v>280</v>
      </c>
      <c r="L1071">
        <v>57278</v>
      </c>
      <c r="M1071">
        <v>41.73</v>
      </c>
      <c r="N1071">
        <v>96.96</v>
      </c>
      <c r="P1071">
        <v>1</v>
      </c>
      <c r="R1071" t="s">
        <v>23</v>
      </c>
      <c r="S1071" t="s">
        <v>24</v>
      </c>
      <c r="T1071" t="s">
        <v>316</v>
      </c>
    </row>
    <row r="1072" spans="1:20" x14ac:dyDescent="0.25">
      <c r="A1072">
        <v>71</v>
      </c>
      <c r="B1072" t="str">
        <f>HYPERLINK("https://imapinvasives.natureserve.org/imap/services/page/Presence/1442233.html", "View")</f>
        <v>View</v>
      </c>
      <c r="C1072">
        <v>1442233</v>
      </c>
      <c r="D1072">
        <v>1456767</v>
      </c>
      <c r="E1072" t="str">
        <f>HYPERLINK("http://imap3images.s3-website-us-east-1.amazonaws.com/1456767/p/imap_app_photo_1724451632432.jpg", "View")</f>
        <v>View</v>
      </c>
      <c r="F1072" t="s">
        <v>279</v>
      </c>
      <c r="G1072" t="s">
        <v>283</v>
      </c>
      <c r="H1072">
        <v>57278</v>
      </c>
      <c r="I1072" t="str">
        <f>HYPERLINK("https://www.inaturalist.org/taxa/57278-Ailanthus-altissima", "View")</f>
        <v>View</v>
      </c>
      <c r="J1072" t="s">
        <v>279</v>
      </c>
      <c r="K1072" t="s">
        <v>280</v>
      </c>
      <c r="L1072">
        <v>57278</v>
      </c>
      <c r="M1072">
        <v>35.049999999999997</v>
      </c>
      <c r="N1072">
        <v>99.84</v>
      </c>
      <c r="P1072">
        <v>1</v>
      </c>
      <c r="R1072" t="s">
        <v>23</v>
      </c>
      <c r="S1072" t="s">
        <v>24</v>
      </c>
      <c r="T1072" t="s">
        <v>316</v>
      </c>
    </row>
    <row r="1073" spans="1:20" x14ac:dyDescent="0.25">
      <c r="A1073">
        <v>72</v>
      </c>
      <c r="B1073" t="str">
        <f>HYPERLINK("https://imapinvasives.natureserve.org/imap/services/page/Presence/433449.html", "View")</f>
        <v>View</v>
      </c>
      <c r="C1073">
        <v>433449</v>
      </c>
      <c r="D1073">
        <v>433449</v>
      </c>
      <c r="E1073" t="str">
        <f>HYPERLINK("http://imap3images.s3-website-us-east-1.amazonaws.com/433449/p/photourl1_2015_03_22_harfrantz_zimwvy05.jpg", "View")</f>
        <v>View</v>
      </c>
      <c r="F1073" t="s">
        <v>279</v>
      </c>
      <c r="G1073" t="s">
        <v>283</v>
      </c>
      <c r="H1073">
        <v>57278</v>
      </c>
      <c r="I1073" t="str">
        <f>HYPERLINK("https://www.inaturalist.org/taxa/57278-Ailanthus-altissima", "View")</f>
        <v>View</v>
      </c>
      <c r="J1073" t="s">
        <v>279</v>
      </c>
      <c r="K1073" t="s">
        <v>280</v>
      </c>
      <c r="L1073">
        <v>57278</v>
      </c>
      <c r="M1073">
        <v>24.01</v>
      </c>
      <c r="N1073">
        <v>34.04</v>
      </c>
      <c r="P1073">
        <v>1</v>
      </c>
      <c r="R1073" t="s">
        <v>23</v>
      </c>
      <c r="S1073" t="s">
        <v>24</v>
      </c>
      <c r="T1073" t="s">
        <v>316</v>
      </c>
    </row>
    <row r="1074" spans="1:20" x14ac:dyDescent="0.25">
      <c r="A1074">
        <v>73</v>
      </c>
      <c r="B1074" t="str">
        <f>HYPERLINK("https://imapinvasives.natureserve.org/imap/services/page/Presence/1168089.html", "View")</f>
        <v>View</v>
      </c>
      <c r="C1074">
        <v>1168089</v>
      </c>
      <c r="D1074">
        <v>1175614</v>
      </c>
      <c r="E1074" t="str">
        <f>HYPERLINK("http://imap3images.s3-website-us-east-1.amazonaws.com/1175614/p/imap_app_photo_1633811412288.jpg", "View")</f>
        <v>View</v>
      </c>
      <c r="F1074" t="s">
        <v>279</v>
      </c>
      <c r="G1074" t="s">
        <v>283</v>
      </c>
      <c r="H1074">
        <v>57278</v>
      </c>
      <c r="I1074" t="str">
        <f>HYPERLINK("https://www.inaturalist.org/taxa/57278-Ailanthus-altissima", "View")</f>
        <v>View</v>
      </c>
      <c r="J1074" t="s">
        <v>279</v>
      </c>
      <c r="K1074" t="s">
        <v>280</v>
      </c>
      <c r="L1074">
        <v>57278</v>
      </c>
      <c r="M1074">
        <v>29.37</v>
      </c>
      <c r="N1074">
        <v>65.72</v>
      </c>
      <c r="P1074">
        <v>1</v>
      </c>
      <c r="R1074" t="s">
        <v>23</v>
      </c>
      <c r="S1074" t="s">
        <v>24</v>
      </c>
      <c r="T1074" t="s">
        <v>316</v>
      </c>
    </row>
    <row r="1075" spans="1:20" x14ac:dyDescent="0.25">
      <c r="A1075">
        <v>74</v>
      </c>
      <c r="B1075" t="str">
        <f>HYPERLINK("https://imapinvasives.natureserve.org/imap/services/page/Presence/1284656.html", "View")</f>
        <v>View</v>
      </c>
      <c r="C1075">
        <v>1284656</v>
      </c>
      <c r="D1075">
        <v>1294236</v>
      </c>
      <c r="E1075" t="str">
        <f>HYPERLINK("http://imap3images.s3-website-us-east-1.amazonaws.com/1294236/p/imap_app_photo_1659319560405.jpg", "View")</f>
        <v>View</v>
      </c>
      <c r="F1075" t="s">
        <v>279</v>
      </c>
      <c r="G1075" t="s">
        <v>283</v>
      </c>
      <c r="H1075">
        <v>57278</v>
      </c>
      <c r="I1075" t="str">
        <f>HYPERLINK("https://www.inaturalist.org/taxa/167829-Rhus-typhina", "View")</f>
        <v>View</v>
      </c>
      <c r="J1075" t="s">
        <v>252</v>
      </c>
      <c r="K1075" t="s">
        <v>253</v>
      </c>
      <c r="L1075">
        <v>167829</v>
      </c>
      <c r="M1075">
        <v>36.369999999999997</v>
      </c>
      <c r="N1075">
        <v>70.209999999999994</v>
      </c>
      <c r="P1075">
        <v>0</v>
      </c>
      <c r="R1075" t="s">
        <v>29</v>
      </c>
      <c r="S1075" t="s">
        <v>24</v>
      </c>
      <c r="T1075" t="s">
        <v>316</v>
      </c>
    </row>
    <row r="1076" spans="1:20" x14ac:dyDescent="0.25">
      <c r="A1076">
        <v>75</v>
      </c>
      <c r="B1076" t="str">
        <f>HYPERLINK("https://imapinvasives.natureserve.org/imap/services/page/Presence/1150353.html", "View")</f>
        <v>View</v>
      </c>
      <c r="C1076">
        <v>1150353</v>
      </c>
      <c r="D1076">
        <v>1157209</v>
      </c>
      <c r="E1076" t="str">
        <f>HYPERLINK("http://imap3images.s3-website-us-east-1.amazonaws.com/1157209/p/imap_app_photo_1626094597874.jpg", "View")</f>
        <v>View</v>
      </c>
      <c r="F1076" t="s">
        <v>279</v>
      </c>
      <c r="G1076" t="s">
        <v>283</v>
      </c>
      <c r="H1076">
        <v>57278</v>
      </c>
      <c r="I1076" t="str">
        <f>HYPERLINK("https://www.inaturalist.org/taxa/57278-Ailanthus-altissima", "View")</f>
        <v>View</v>
      </c>
      <c r="J1076" t="s">
        <v>279</v>
      </c>
      <c r="K1076" t="s">
        <v>280</v>
      </c>
      <c r="L1076">
        <v>57278</v>
      </c>
      <c r="M1076">
        <v>64.84</v>
      </c>
      <c r="N1076">
        <v>60.09</v>
      </c>
      <c r="P1076">
        <v>1</v>
      </c>
      <c r="R1076" t="s">
        <v>23</v>
      </c>
      <c r="S1076" t="s">
        <v>24</v>
      </c>
      <c r="T1076" t="s">
        <v>316</v>
      </c>
    </row>
    <row r="1077" spans="1:20" x14ac:dyDescent="0.25">
      <c r="A1077">
        <v>76</v>
      </c>
      <c r="B1077" t="str">
        <f>HYPERLINK("https://imapinvasives.natureserve.org/imap/services/page/Presence/1023506.html", "View")</f>
        <v>View</v>
      </c>
      <c r="C1077">
        <v>1023506</v>
      </c>
      <c r="D1077">
        <v>1024093</v>
      </c>
      <c r="E1077" t="str">
        <f>HYPERLINK("http://imap3images.s3-website-us-east-1.amazonaws.com/1024093/p/imap_app_photo_1564239003127.jpg", "View")</f>
        <v>View</v>
      </c>
      <c r="F1077" t="s">
        <v>279</v>
      </c>
      <c r="G1077" t="s">
        <v>283</v>
      </c>
      <c r="H1077">
        <v>57278</v>
      </c>
      <c r="I1077" t="str">
        <f>HYPERLINK("https://www.inaturalist.org/taxa/57278-Ailanthus-altissima", "View")</f>
        <v>View</v>
      </c>
      <c r="J1077" t="s">
        <v>279</v>
      </c>
      <c r="K1077" t="s">
        <v>280</v>
      </c>
      <c r="L1077">
        <v>57278</v>
      </c>
      <c r="M1077">
        <v>41.73</v>
      </c>
      <c r="N1077">
        <v>96.67</v>
      </c>
      <c r="P1077">
        <v>1</v>
      </c>
      <c r="R1077" t="s">
        <v>23</v>
      </c>
      <c r="S1077" t="s">
        <v>24</v>
      </c>
      <c r="T1077" t="s">
        <v>316</v>
      </c>
    </row>
    <row r="1078" spans="1:20" x14ac:dyDescent="0.25">
      <c r="A1078">
        <v>77</v>
      </c>
      <c r="B1078" t="str">
        <f>HYPERLINK("https://imapinvasives.natureserve.org/imap/services/page/Presence/1152500.html", "View")</f>
        <v>View</v>
      </c>
      <c r="C1078">
        <v>1152500</v>
      </c>
      <c r="D1078">
        <v>1159445</v>
      </c>
      <c r="E1078" t="str">
        <f>HYPERLINK("http://imap3images.s3-website-us-east-1.amazonaws.com/1159445/p/imap_app_photo_1627092493571.jpg", "View")</f>
        <v>View</v>
      </c>
      <c r="F1078" t="s">
        <v>279</v>
      </c>
      <c r="G1078" t="s">
        <v>283</v>
      </c>
      <c r="H1078">
        <v>57278</v>
      </c>
      <c r="I1078" t="str">
        <f>HYPERLINK("https://www.inaturalist.org/taxa/57278-Ailanthus-altissima", "View")</f>
        <v>View</v>
      </c>
      <c r="J1078" t="s">
        <v>279</v>
      </c>
      <c r="K1078" t="s">
        <v>280</v>
      </c>
      <c r="L1078">
        <v>57278</v>
      </c>
      <c r="M1078">
        <v>36</v>
      </c>
      <c r="N1078">
        <v>99.89</v>
      </c>
      <c r="P1078">
        <v>1</v>
      </c>
      <c r="R1078" t="s">
        <v>23</v>
      </c>
      <c r="S1078" t="s">
        <v>24</v>
      </c>
      <c r="T1078" t="s">
        <v>316</v>
      </c>
    </row>
    <row r="1079" spans="1:20" x14ac:dyDescent="0.25">
      <c r="A1079">
        <v>78</v>
      </c>
      <c r="B1079" s="3" t="str">
        <f>HYPERLINK("https://imapinvasives.natureserve.org/imap/services/page/Presence/1443671.html", "View")</f>
        <v>View</v>
      </c>
      <c r="C1079">
        <v>1443671</v>
      </c>
      <c r="D1079">
        <v>1458321</v>
      </c>
      <c r="E1079" t="str">
        <f>HYPERLINK("http://imap3images.s3-website-us-east-1.amazonaws.com/1458321/p/Cemetery.jpg", "View")</f>
        <v>View</v>
      </c>
      <c r="F1079" t="s">
        <v>279</v>
      </c>
      <c r="G1079" t="s">
        <v>283</v>
      </c>
      <c r="H1079">
        <v>57278</v>
      </c>
      <c r="I1079" t="str">
        <f>HYPERLINK("https://www.inaturalist.org/taxa/57278-Ailanthus-altissima", "View")</f>
        <v>View</v>
      </c>
      <c r="J1079" t="s">
        <v>279</v>
      </c>
      <c r="K1079" t="s">
        <v>280</v>
      </c>
      <c r="L1079">
        <v>57278</v>
      </c>
      <c r="M1079">
        <v>82.1</v>
      </c>
      <c r="N1079">
        <v>87.09</v>
      </c>
      <c r="P1079">
        <v>1</v>
      </c>
      <c r="R1079" t="s">
        <v>23</v>
      </c>
      <c r="S1079" t="s">
        <v>24</v>
      </c>
      <c r="T1079" t="s">
        <v>316</v>
      </c>
    </row>
    <row r="1080" spans="1:20" x14ac:dyDescent="0.25">
      <c r="A1080">
        <v>79</v>
      </c>
      <c r="B1080" t="str">
        <f>HYPERLINK("https://imapinvasives.natureserve.org/imap/services/page/Presence/1018582.html", "View")</f>
        <v>View</v>
      </c>
      <c r="C1080">
        <v>1018582</v>
      </c>
      <c r="D1080">
        <v>1019101</v>
      </c>
      <c r="E1080" t="str">
        <f>HYPERLINK("http://imap3images.s3-website-us-east-1.amazonaws.com/1019101/p/hostPhoto-20181025-180115.jpg", "View")</f>
        <v>View</v>
      </c>
      <c r="F1080" t="s">
        <v>279</v>
      </c>
      <c r="G1080" t="s">
        <v>283</v>
      </c>
      <c r="H1080">
        <v>57278</v>
      </c>
      <c r="I1080" t="str">
        <f>HYPERLINK("https://www.inaturalist.org/taxa/57278-Ailanthus-altissima", "View")</f>
        <v>View</v>
      </c>
      <c r="J1080" t="s">
        <v>279</v>
      </c>
      <c r="K1080" t="s">
        <v>280</v>
      </c>
      <c r="L1080">
        <v>57278</v>
      </c>
      <c r="M1080">
        <v>14.62</v>
      </c>
      <c r="N1080">
        <v>99.4</v>
      </c>
      <c r="P1080">
        <v>1</v>
      </c>
      <c r="R1080" t="s">
        <v>23</v>
      </c>
      <c r="S1080" t="s">
        <v>34</v>
      </c>
      <c r="T1080" t="s">
        <v>317</v>
      </c>
    </row>
    <row r="1081" spans="1:20" x14ac:dyDescent="0.25">
      <c r="A1081">
        <v>80</v>
      </c>
      <c r="B1081" t="str">
        <f>HYPERLINK("https://imapinvasives.natureserve.org/imap/services/page/Presence/1284657.html", "View")</f>
        <v>View</v>
      </c>
      <c r="C1081">
        <v>1284657</v>
      </c>
      <c r="D1081">
        <v>1294237</v>
      </c>
      <c r="E1081" t="str">
        <f>HYPERLINK("http://imap3images.s3-website-us-east-1.amazonaws.com/1294237/p/imap_app_photo_1659319604554.jpg", "View")</f>
        <v>View</v>
      </c>
      <c r="F1081" t="s">
        <v>279</v>
      </c>
      <c r="G1081" t="s">
        <v>283</v>
      </c>
      <c r="H1081">
        <v>57278</v>
      </c>
      <c r="I1081" t="str">
        <f>HYPERLINK("https://www.inaturalist.org/taxa/54857-Celtis-occidentalis", "View")</f>
        <v>View</v>
      </c>
      <c r="J1081" t="s">
        <v>307</v>
      </c>
      <c r="K1081" t="s">
        <v>308</v>
      </c>
      <c r="L1081">
        <v>54857</v>
      </c>
      <c r="M1081">
        <v>2.35</v>
      </c>
      <c r="N1081">
        <v>10.63</v>
      </c>
      <c r="P1081">
        <v>0</v>
      </c>
      <c r="R1081" t="s">
        <v>29</v>
      </c>
      <c r="S1081" t="s">
        <v>24</v>
      </c>
      <c r="T1081" t="s">
        <v>316</v>
      </c>
    </row>
    <row r="1082" spans="1:20" x14ac:dyDescent="0.25">
      <c r="A1082">
        <v>81</v>
      </c>
      <c r="B1082" t="str">
        <f>HYPERLINK("https://imapinvasives.natureserve.org/imap/services/page/Presence/1304297.html", "View")</f>
        <v>View</v>
      </c>
      <c r="C1082">
        <v>1304297</v>
      </c>
      <c r="D1082">
        <v>1314719</v>
      </c>
      <c r="E1082" t="str">
        <f>HYPERLINK("http://imap3images.s3-website-us-east-1.amazonaws.com/1314719/p/Photo_1.jpg", "View")</f>
        <v>View</v>
      </c>
      <c r="F1082" t="s">
        <v>279</v>
      </c>
      <c r="G1082" t="s">
        <v>283</v>
      </c>
      <c r="H1082">
        <v>57278</v>
      </c>
      <c r="I1082" t="str">
        <f>HYPERLINK("https://www.inaturalist.org/taxa/116710-Microstegium-vimineum", "View")</f>
        <v>View</v>
      </c>
      <c r="J1082" t="s">
        <v>309</v>
      </c>
      <c r="K1082" t="s">
        <v>310</v>
      </c>
      <c r="L1082">
        <v>116710</v>
      </c>
      <c r="M1082">
        <v>2.17</v>
      </c>
      <c r="N1082">
        <v>13.58</v>
      </c>
      <c r="P1082">
        <v>0</v>
      </c>
      <c r="R1082" t="s">
        <v>40</v>
      </c>
      <c r="S1082" t="s">
        <v>34</v>
      </c>
      <c r="T1082" t="s">
        <v>317</v>
      </c>
    </row>
    <row r="1083" spans="1:20" x14ac:dyDescent="0.25">
      <c r="A1083">
        <v>82</v>
      </c>
      <c r="B1083" t="str">
        <f>HYPERLINK("https://imapinvasives.natureserve.org/imap/services/page/Presence/1057021.html", "View")</f>
        <v>View</v>
      </c>
      <c r="C1083">
        <v>1057021</v>
      </c>
      <c r="D1083">
        <v>1061523</v>
      </c>
      <c r="E1083" t="str">
        <f>HYPERLINK("http://imap3images.s3-website-us-east-1.amazonaws.com/1061523/p/imap_app_photo_1595275746315.jpg", "View")</f>
        <v>View</v>
      </c>
      <c r="F1083" t="s">
        <v>279</v>
      </c>
      <c r="G1083" t="s">
        <v>283</v>
      </c>
      <c r="H1083">
        <v>57278</v>
      </c>
      <c r="I1083" t="str">
        <f>HYPERLINK("https://www.inaturalist.org/taxa/57278-Ailanthus-altissima", "View")</f>
        <v>View</v>
      </c>
      <c r="J1083" t="s">
        <v>279</v>
      </c>
      <c r="K1083" t="s">
        <v>280</v>
      </c>
      <c r="L1083">
        <v>57278</v>
      </c>
      <c r="M1083">
        <v>41.73</v>
      </c>
      <c r="N1083">
        <v>99.17</v>
      </c>
      <c r="P1083">
        <v>1</v>
      </c>
      <c r="R1083" t="s">
        <v>23</v>
      </c>
      <c r="S1083" t="s">
        <v>24</v>
      </c>
      <c r="T1083" t="s">
        <v>316</v>
      </c>
    </row>
    <row r="1084" spans="1:20" x14ac:dyDescent="0.25">
      <c r="A1084">
        <v>83</v>
      </c>
      <c r="B1084" s="3" t="str">
        <f>HYPERLINK("https://imapinvasives.natureserve.org/imap/services/page/Presence/1330831.html", "View")</f>
        <v>View</v>
      </c>
      <c r="C1084">
        <v>1330831</v>
      </c>
      <c r="D1084">
        <v>1344307</v>
      </c>
      <c r="E1084" t="str">
        <f>HYPERLINK("http://imap3images.s3-website-us-east-1.amazonaws.com/1344307/p/imap_app_photo_1684422359638.jpg", "View")</f>
        <v>View</v>
      </c>
      <c r="F1084" t="s">
        <v>279</v>
      </c>
      <c r="G1084" t="s">
        <v>283</v>
      </c>
      <c r="H1084">
        <v>57278</v>
      </c>
      <c r="I1084" t="str">
        <f>HYPERLINK("https://www.inaturalist.org/taxa/57278-Ailanthus-altissima", "View")</f>
        <v>View</v>
      </c>
      <c r="J1084" t="s">
        <v>279</v>
      </c>
      <c r="K1084" t="s">
        <v>280</v>
      </c>
      <c r="L1084">
        <v>57278</v>
      </c>
      <c r="M1084">
        <v>6.21</v>
      </c>
      <c r="N1084">
        <v>10.11</v>
      </c>
      <c r="P1084">
        <v>1</v>
      </c>
      <c r="R1084" t="s">
        <v>23</v>
      </c>
      <c r="S1084" t="s">
        <v>79</v>
      </c>
      <c r="T1084" t="s">
        <v>317</v>
      </c>
    </row>
    <row r="1085" spans="1:20" x14ac:dyDescent="0.25">
      <c r="A1085">
        <v>84</v>
      </c>
      <c r="B1085" t="str">
        <f>HYPERLINK("https://imapinvasives.natureserve.org/imap/services/page/Presence/529861.html", "View")</f>
        <v>View</v>
      </c>
      <c r="C1085">
        <v>529861</v>
      </c>
      <c r="D1085">
        <v>529861</v>
      </c>
      <c r="E1085" t="str">
        <f>HYPERLINK("http://imap3images.s3-website-us-east-1.amazonaws.com/529861/p/photourl1_2018_08_09_falneske_hl51hpgi.jpg", "View")</f>
        <v>View</v>
      </c>
      <c r="F1085" t="s">
        <v>279</v>
      </c>
      <c r="G1085" t="s">
        <v>283</v>
      </c>
      <c r="H1085">
        <v>57278</v>
      </c>
      <c r="I1085" t="str">
        <f>HYPERLINK("https://www.inaturalist.org/taxa/119817-Apios-americana", "View")</f>
        <v>View</v>
      </c>
      <c r="J1085" t="s">
        <v>227</v>
      </c>
      <c r="K1085" t="s">
        <v>228</v>
      </c>
      <c r="L1085">
        <v>119817</v>
      </c>
      <c r="M1085">
        <v>39.18</v>
      </c>
      <c r="N1085">
        <v>3.54</v>
      </c>
      <c r="P1085">
        <v>0</v>
      </c>
      <c r="R1085" t="s">
        <v>29</v>
      </c>
      <c r="S1085" t="s">
        <v>24</v>
      </c>
      <c r="T1085" t="s">
        <v>316</v>
      </c>
    </row>
    <row r="1086" spans="1:20" x14ac:dyDescent="0.25">
      <c r="A1086">
        <v>85</v>
      </c>
      <c r="B1086" t="str">
        <f>HYPERLINK("https://imapinvasives.natureserve.org/imap/services/page/Presence/1167689.html", "View")</f>
        <v>View</v>
      </c>
      <c r="C1086">
        <v>1167689</v>
      </c>
      <c r="D1086">
        <v>1175149</v>
      </c>
      <c r="E1086" t="str">
        <f>HYPERLINK("http://imap3images.s3-website-us-east-1.amazonaws.com/1175149/p/IMG_9318.JPG", "View")</f>
        <v>View</v>
      </c>
      <c r="F1086" t="s">
        <v>279</v>
      </c>
      <c r="G1086" t="s">
        <v>283</v>
      </c>
      <c r="H1086">
        <v>57278</v>
      </c>
      <c r="I1086" t="str">
        <f>HYPERLINK("https://www.inaturalist.org/taxa/57278-Ailanthus-altissima", "View")</f>
        <v>View</v>
      </c>
      <c r="J1086" t="s">
        <v>279</v>
      </c>
      <c r="K1086" t="s">
        <v>280</v>
      </c>
      <c r="L1086">
        <v>57278</v>
      </c>
      <c r="M1086">
        <v>36</v>
      </c>
      <c r="N1086">
        <v>42.53</v>
      </c>
      <c r="P1086">
        <v>1</v>
      </c>
      <c r="R1086" t="s">
        <v>23</v>
      </c>
      <c r="S1086" t="s">
        <v>33</v>
      </c>
      <c r="T1086" t="s">
        <v>317</v>
      </c>
    </row>
    <row r="1087" spans="1:20" x14ac:dyDescent="0.25">
      <c r="A1087">
        <v>86</v>
      </c>
      <c r="B1087" t="str">
        <f>HYPERLINK("https://imapinvasives.natureserve.org/imap/services/page/Presence/1158453.html", "View")</f>
        <v>View</v>
      </c>
      <c r="C1087">
        <v>1158453</v>
      </c>
      <c r="D1087">
        <v>1165524</v>
      </c>
      <c r="E1087" t="str">
        <f>HYPERLINK("http://imap3images.s3-website-us-east-1.amazonaws.com/1165524/p/ParkOutdoor_8.4.2021_vegetation_5_TOH_leaves.jpg", "View")</f>
        <v>View</v>
      </c>
      <c r="F1087" t="s">
        <v>279</v>
      </c>
      <c r="G1087" t="s">
        <v>283</v>
      </c>
      <c r="H1087">
        <v>57278</v>
      </c>
      <c r="I1087" t="str">
        <f>HYPERLINK("https://www.inaturalist.org/taxa/57278-Ailanthus-altissima", "View")</f>
        <v>View</v>
      </c>
      <c r="J1087" t="s">
        <v>279</v>
      </c>
      <c r="K1087" t="s">
        <v>280</v>
      </c>
      <c r="L1087">
        <v>57278</v>
      </c>
      <c r="M1087">
        <v>6.16</v>
      </c>
      <c r="N1087">
        <v>86.46</v>
      </c>
      <c r="P1087">
        <v>1</v>
      </c>
      <c r="R1087" t="s">
        <v>23</v>
      </c>
      <c r="S1087" t="s">
        <v>24</v>
      </c>
      <c r="T1087" t="s">
        <v>316</v>
      </c>
    </row>
    <row r="1088" spans="1:20" x14ac:dyDescent="0.25">
      <c r="A1088">
        <v>87</v>
      </c>
      <c r="B1088" t="str">
        <f>HYPERLINK("https://imapinvasives.natureserve.org/imap/services/page/Presence/1165003.html", "View")</f>
        <v>View</v>
      </c>
      <c r="C1088">
        <v>1165003</v>
      </c>
      <c r="D1088">
        <v>1172260</v>
      </c>
      <c r="E1088" t="str">
        <f>HYPERLINK("http://imap3images.s3-website-us-east-1.amazonaws.com/1172260/p/imap_app_photo_1632701384223.jpg", "View")</f>
        <v>View</v>
      </c>
      <c r="F1088" t="s">
        <v>279</v>
      </c>
      <c r="G1088" t="s">
        <v>283</v>
      </c>
      <c r="H1088">
        <v>57278</v>
      </c>
      <c r="I1088" t="str">
        <f>HYPERLINK("https://www.inaturalist.org/taxa/57278-Ailanthus-altissima", "View")</f>
        <v>View</v>
      </c>
      <c r="J1088" t="s">
        <v>279</v>
      </c>
      <c r="K1088" t="s">
        <v>280</v>
      </c>
      <c r="L1088">
        <v>57278</v>
      </c>
      <c r="M1088">
        <v>36</v>
      </c>
      <c r="N1088">
        <v>96.55</v>
      </c>
      <c r="P1088">
        <v>1</v>
      </c>
      <c r="R1088" t="s">
        <v>23</v>
      </c>
      <c r="S1088" t="s">
        <v>34</v>
      </c>
      <c r="T1088" t="s">
        <v>317</v>
      </c>
    </row>
    <row r="1089" spans="1:20" x14ac:dyDescent="0.25">
      <c r="A1089">
        <v>88</v>
      </c>
      <c r="B1089" t="str">
        <f>HYPERLINK("https://imapinvasives.natureserve.org/imap/services/page/Presence/1038112.html", "View")</f>
        <v>View</v>
      </c>
      <c r="C1089">
        <v>1038112</v>
      </c>
      <c r="D1089">
        <v>1041470</v>
      </c>
      <c r="E1089" t="str">
        <f>HYPERLINK("http://imap3images.s3-website-us-east-1.amazonaws.com/1041470/p/attachment2.jpg", "View")</f>
        <v>View</v>
      </c>
      <c r="F1089" t="s">
        <v>279</v>
      </c>
      <c r="G1089" t="s">
        <v>283</v>
      </c>
      <c r="H1089">
        <v>57278</v>
      </c>
      <c r="I1089" t="str">
        <f>HYPERLINK("https://www.inaturalist.org/taxa/54504-Juglans-nigra", "View")</f>
        <v>View</v>
      </c>
      <c r="J1089" t="s">
        <v>291</v>
      </c>
      <c r="K1089" t="s">
        <v>292</v>
      </c>
      <c r="L1089">
        <v>54504</v>
      </c>
      <c r="M1089">
        <v>17.38</v>
      </c>
      <c r="N1089">
        <v>14.66</v>
      </c>
      <c r="P1089">
        <v>0</v>
      </c>
      <c r="R1089" t="s">
        <v>29</v>
      </c>
      <c r="S1089" t="s">
        <v>24</v>
      </c>
      <c r="T1089" t="s">
        <v>316</v>
      </c>
    </row>
    <row r="1090" spans="1:20" x14ac:dyDescent="0.25">
      <c r="A1090">
        <v>89</v>
      </c>
      <c r="B1090" t="str">
        <f>HYPERLINK("https://imapinvasives.natureserve.org/imap/services/page/Presence/1442770.html", "View")</f>
        <v>View</v>
      </c>
      <c r="C1090">
        <v>1442770</v>
      </c>
      <c r="D1090">
        <v>1457347</v>
      </c>
      <c r="E1090" t="str">
        <f>HYPERLINK("http://imap3images.s3-website-us-east-1.amazonaws.com/1457347/p/Photo_2.jpg", "View")</f>
        <v>View</v>
      </c>
      <c r="F1090" t="s">
        <v>279</v>
      </c>
      <c r="G1090" t="s">
        <v>283</v>
      </c>
      <c r="H1090">
        <v>57278</v>
      </c>
      <c r="I1090" t="str">
        <f>HYPERLINK("https://www.inaturalist.org/taxa/49157-Betula-lenta", "View")</f>
        <v>View</v>
      </c>
      <c r="J1090" t="s">
        <v>311</v>
      </c>
      <c r="K1090" t="s">
        <v>312</v>
      </c>
      <c r="L1090">
        <v>49157</v>
      </c>
      <c r="M1090">
        <v>54.08</v>
      </c>
      <c r="N1090">
        <v>8.64</v>
      </c>
      <c r="P1090">
        <v>0</v>
      </c>
      <c r="R1090" t="s">
        <v>29</v>
      </c>
      <c r="S1090" t="s">
        <v>39</v>
      </c>
      <c r="T1090" t="s">
        <v>317</v>
      </c>
    </row>
    <row r="1091" spans="1:20" x14ac:dyDescent="0.25">
      <c r="A1091">
        <v>90</v>
      </c>
      <c r="B1091" t="str">
        <f>HYPERLINK("https://imapinvasives.natureserve.org/imap/services/page/Presence/1145367.html", "View")</f>
        <v>View</v>
      </c>
      <c r="C1091">
        <v>1145367</v>
      </c>
      <c r="D1091">
        <v>1151899</v>
      </c>
      <c r="E1091" t="str">
        <f>HYPERLINK("http://imap3images.s3-website-us-east-1.amazonaws.com/1151899/p/imap_app_photo_1623282032956.jpg", "View")</f>
        <v>View</v>
      </c>
      <c r="F1091" t="s">
        <v>279</v>
      </c>
      <c r="G1091" t="s">
        <v>283</v>
      </c>
      <c r="H1091">
        <v>57278</v>
      </c>
      <c r="I1091" t="str">
        <f>HYPERLINK("https://www.inaturalist.org/taxa/57278-Ailanthus-altissima", "View")</f>
        <v>View</v>
      </c>
      <c r="J1091" t="s">
        <v>279</v>
      </c>
      <c r="K1091" t="s">
        <v>280</v>
      </c>
      <c r="L1091">
        <v>57278</v>
      </c>
      <c r="M1091">
        <v>24.01</v>
      </c>
      <c r="N1091">
        <v>99.64</v>
      </c>
      <c r="P1091">
        <v>1</v>
      </c>
      <c r="R1091" t="s">
        <v>23</v>
      </c>
      <c r="S1091" t="s">
        <v>24</v>
      </c>
      <c r="T1091" t="s">
        <v>316</v>
      </c>
    </row>
    <row r="1092" spans="1:20" x14ac:dyDescent="0.25">
      <c r="A1092">
        <v>91</v>
      </c>
      <c r="B1092" s="3" t="str">
        <f>HYPERLINK("https://imapinvasives.natureserve.org/imap/services/page/Presence/1284546.html", "View")</f>
        <v>View</v>
      </c>
      <c r="C1092">
        <v>1284546</v>
      </c>
      <c r="D1092">
        <v>1294126</v>
      </c>
      <c r="E1092" t="str">
        <f>HYPERLINK("http://imap3images.s3-website-us-east-1.amazonaws.com/1294126/p/DSCN8676.JPG", "View")</f>
        <v>View</v>
      </c>
      <c r="F1092" t="s">
        <v>279</v>
      </c>
      <c r="G1092" t="s">
        <v>283</v>
      </c>
      <c r="H1092">
        <v>57278</v>
      </c>
      <c r="I1092" t="str">
        <f>HYPERLINK("https://www.inaturalist.org/taxa/57278-Ailanthus-altissima", "View")</f>
        <v>View</v>
      </c>
      <c r="J1092" t="s">
        <v>279</v>
      </c>
      <c r="K1092" t="s">
        <v>280</v>
      </c>
      <c r="L1092">
        <v>57278</v>
      </c>
      <c r="M1092">
        <v>56.26</v>
      </c>
      <c r="N1092">
        <v>98.98</v>
      </c>
      <c r="P1092">
        <v>1</v>
      </c>
      <c r="R1092" t="s">
        <v>23</v>
      </c>
      <c r="S1092" t="s">
        <v>24</v>
      </c>
      <c r="T1092" t="s">
        <v>316</v>
      </c>
    </row>
    <row r="1093" spans="1:20" x14ac:dyDescent="0.25">
      <c r="A1093">
        <v>92</v>
      </c>
      <c r="B1093" t="str">
        <f>HYPERLINK("https://imapinvasives.natureserve.org/imap/services/page/Presence/1023507.html", "View")</f>
        <v>View</v>
      </c>
      <c r="C1093">
        <v>1023507</v>
      </c>
      <c r="D1093">
        <v>1024094</v>
      </c>
      <c r="E1093" t="str">
        <f>HYPERLINK("http://imap3images.s3-website-us-east-1.amazonaws.com/1024094/p/imap_app_photo_1564239012835.jpg", "View")</f>
        <v>View</v>
      </c>
      <c r="F1093" t="s">
        <v>279</v>
      </c>
      <c r="G1093" t="s">
        <v>283</v>
      </c>
      <c r="H1093">
        <v>57278</v>
      </c>
      <c r="I1093" t="str">
        <f>HYPERLINK("https://www.inaturalist.org/taxa/57278-Ailanthus-altissima", "View")</f>
        <v>View</v>
      </c>
      <c r="J1093" t="s">
        <v>279</v>
      </c>
      <c r="K1093" t="s">
        <v>280</v>
      </c>
      <c r="L1093">
        <v>57278</v>
      </c>
      <c r="M1093">
        <v>41.73</v>
      </c>
      <c r="N1093">
        <v>99.24</v>
      </c>
      <c r="P1093">
        <v>1</v>
      </c>
      <c r="R1093" t="s">
        <v>23</v>
      </c>
      <c r="S1093" t="s">
        <v>24</v>
      </c>
      <c r="T1093" t="s">
        <v>316</v>
      </c>
    </row>
    <row r="1094" spans="1:20" x14ac:dyDescent="0.25">
      <c r="A1094">
        <v>93</v>
      </c>
      <c r="B1094" t="str">
        <f>HYPERLINK("https://imapinvasives.natureserve.org/imap/services/page/Presence/1119838.html", "View")</f>
        <v>View</v>
      </c>
      <c r="C1094">
        <v>1119838</v>
      </c>
      <c r="D1094">
        <v>1125994</v>
      </c>
      <c r="E1094" t="str">
        <f>HYPERLINK("http://imap3images.s3-website-us-east-1.amazonaws.com/1125994/p/imap_app_photo_1615408309522.jpg", "View")</f>
        <v>View</v>
      </c>
      <c r="F1094" t="s">
        <v>279</v>
      </c>
      <c r="G1094" t="s">
        <v>283</v>
      </c>
      <c r="H1094">
        <v>57278</v>
      </c>
      <c r="I1094" t="str">
        <f>HYPERLINK("https://www.inaturalist.org/taxa/52543-Acer-saccharum", "View")</f>
        <v>View</v>
      </c>
      <c r="J1094" t="s">
        <v>313</v>
      </c>
      <c r="K1094" t="s">
        <v>314</v>
      </c>
      <c r="L1094">
        <v>52543</v>
      </c>
      <c r="M1094">
        <v>37.880000000000003</v>
      </c>
      <c r="N1094">
        <v>27.04</v>
      </c>
      <c r="P1094">
        <v>0</v>
      </c>
      <c r="R1094" t="s">
        <v>40</v>
      </c>
      <c r="S1094" t="s">
        <v>39</v>
      </c>
      <c r="T1094" t="s">
        <v>317</v>
      </c>
    </row>
    <row r="1095" spans="1:20" x14ac:dyDescent="0.25">
      <c r="A1095">
        <v>94</v>
      </c>
      <c r="B1095" t="str">
        <f>HYPERLINK("https://imapinvasives.natureserve.org/imap/services/page/Presence/1022521.html", "View")</f>
        <v>View</v>
      </c>
      <c r="C1095">
        <v>1022521</v>
      </c>
      <c r="D1095">
        <v>1023063</v>
      </c>
      <c r="E1095" t="str">
        <f>HYPERLINK("http://imap3images.s3-website-us-east-1.amazonaws.com/1023063/p/imap_app_photo_1563479462438.jpg", "View")</f>
        <v>View</v>
      </c>
      <c r="F1095" t="s">
        <v>279</v>
      </c>
      <c r="G1095" t="s">
        <v>283</v>
      </c>
      <c r="H1095">
        <v>57278</v>
      </c>
      <c r="I1095" t="str">
        <f>HYPERLINK("https://www.inaturalist.org/taxa/57278-Ailanthus-altissima", "View")</f>
        <v>View</v>
      </c>
      <c r="J1095" t="s">
        <v>279</v>
      </c>
      <c r="K1095" t="s">
        <v>280</v>
      </c>
      <c r="L1095">
        <v>57278</v>
      </c>
      <c r="M1095">
        <v>56.26</v>
      </c>
      <c r="N1095">
        <v>95.61</v>
      </c>
      <c r="P1095">
        <v>1</v>
      </c>
      <c r="R1095" t="s">
        <v>23</v>
      </c>
      <c r="S1095" t="s">
        <v>24</v>
      </c>
      <c r="T1095" t="s">
        <v>316</v>
      </c>
    </row>
    <row r="1096" spans="1:20" x14ac:dyDescent="0.25">
      <c r="A1096">
        <v>95</v>
      </c>
      <c r="B1096" t="str">
        <f>HYPERLINK("https://imapinvasives.natureserve.org/imap/services/page/Presence/515506.html", "View")</f>
        <v>View</v>
      </c>
      <c r="C1096">
        <v>515506</v>
      </c>
      <c r="D1096">
        <v>515506</v>
      </c>
      <c r="E1096" t="str">
        <f>HYPERLINK("http://imap3images.s3-website-us-east-1.amazonaws.com/515506/p/photourl1_2017_10_06_annullmann_srw2yx1p.jpg", "View")</f>
        <v>View</v>
      </c>
      <c r="F1096" t="s">
        <v>279</v>
      </c>
      <c r="G1096" t="s">
        <v>283</v>
      </c>
      <c r="H1096">
        <v>57278</v>
      </c>
      <c r="I1096" t="str">
        <f>HYPERLINK("https://www.inaturalist.org/taxa/57278-Ailanthus-altissima", "View")</f>
        <v>View</v>
      </c>
      <c r="J1096" t="s">
        <v>279</v>
      </c>
      <c r="K1096" t="s">
        <v>280</v>
      </c>
      <c r="L1096">
        <v>57278</v>
      </c>
      <c r="M1096">
        <v>5.49</v>
      </c>
      <c r="N1096">
        <v>77.41</v>
      </c>
      <c r="P1096">
        <v>1</v>
      </c>
      <c r="R1096" t="s">
        <v>23</v>
      </c>
      <c r="S1096" t="s">
        <v>24</v>
      </c>
      <c r="T1096" t="s">
        <v>316</v>
      </c>
    </row>
    <row r="1097" spans="1:20" x14ac:dyDescent="0.25">
      <c r="A1097">
        <v>96</v>
      </c>
      <c r="B1097" t="str">
        <f>HYPERLINK("https://imapinvasives.natureserve.org/imap/services/page/Presence/1298918.html", "View")</f>
        <v>View</v>
      </c>
      <c r="C1097">
        <v>1298918</v>
      </c>
      <c r="D1097">
        <v>1309250</v>
      </c>
      <c r="E1097" t="str">
        <f>HYPERLINK("http://imap3images.s3-website-us-east-1.amazonaws.com/1309250/p/imap_app_photo_1665958829342.jpg", "View")</f>
        <v>View</v>
      </c>
      <c r="F1097" t="s">
        <v>279</v>
      </c>
      <c r="G1097" t="s">
        <v>283</v>
      </c>
      <c r="H1097">
        <v>57278</v>
      </c>
      <c r="I1097" t="str">
        <f>HYPERLINK("https://www.inaturalist.org/taxa/167829-Rhus-typhina", "View")</f>
        <v>View</v>
      </c>
      <c r="J1097" t="s">
        <v>252</v>
      </c>
      <c r="K1097" t="s">
        <v>253</v>
      </c>
      <c r="L1097">
        <v>167829</v>
      </c>
      <c r="M1097">
        <v>45.06</v>
      </c>
      <c r="N1097">
        <v>72.73</v>
      </c>
      <c r="P1097">
        <v>0</v>
      </c>
      <c r="R1097" t="s">
        <v>29</v>
      </c>
      <c r="S1097" t="s">
        <v>34</v>
      </c>
      <c r="T1097" t="s">
        <v>317</v>
      </c>
    </row>
    <row r="1098" spans="1:20" x14ac:dyDescent="0.25">
      <c r="A1098">
        <v>97</v>
      </c>
      <c r="B1098" t="str">
        <f>HYPERLINK("https://imapinvasives.natureserve.org/imap/services/page/Presence/1018356.html", "View")</f>
        <v>View</v>
      </c>
      <c r="C1098">
        <v>1018356</v>
      </c>
      <c r="D1098">
        <v>1018875</v>
      </c>
      <c r="E1098" t="str">
        <f>HYPERLINK("http://imap3images.s3-website-us-east-1.amazonaws.com/1018875/p/hostPhoto-20180914-185213.jpg", "View")</f>
        <v>View</v>
      </c>
      <c r="F1098" t="s">
        <v>279</v>
      </c>
      <c r="G1098" t="s">
        <v>283</v>
      </c>
      <c r="H1098">
        <v>57278</v>
      </c>
      <c r="I1098" t="str">
        <f>HYPERLINK("https://www.inaturalist.org/taxa/57278-Ailanthus-altissima", "View")</f>
        <v>View</v>
      </c>
      <c r="J1098" t="s">
        <v>279</v>
      </c>
      <c r="K1098" t="s">
        <v>280</v>
      </c>
      <c r="L1098">
        <v>57278</v>
      </c>
      <c r="M1098">
        <v>14.62</v>
      </c>
      <c r="N1098">
        <v>54.86</v>
      </c>
      <c r="P1098">
        <v>1</v>
      </c>
      <c r="R1098" t="s">
        <v>23</v>
      </c>
      <c r="S1098" t="s">
        <v>24</v>
      </c>
      <c r="T1098" t="s">
        <v>316</v>
      </c>
    </row>
    <row r="1099" spans="1:20" x14ac:dyDescent="0.25">
      <c r="A1099">
        <v>98</v>
      </c>
      <c r="B1099" t="str">
        <f>HYPERLINK("https://imapinvasives.natureserve.org/imap/services/page/Presence/1018334.html", "View")</f>
        <v>View</v>
      </c>
      <c r="C1099">
        <v>1018334</v>
      </c>
      <c r="D1099">
        <v>1018853</v>
      </c>
      <c r="E1099" t="str">
        <f>HYPERLINK("http://imap3images.s3-website-us-east-1.amazonaws.com/1018853/p/hostPhoto-20180912-143831.jpg", "View")</f>
        <v>View</v>
      </c>
      <c r="F1099" t="s">
        <v>279</v>
      </c>
      <c r="G1099" t="s">
        <v>283</v>
      </c>
      <c r="H1099">
        <v>57278</v>
      </c>
      <c r="I1099" t="str">
        <f>HYPERLINK("https://www.inaturalist.org/taxa/57278-Ailanthus-altissima", "View")</f>
        <v>View</v>
      </c>
      <c r="J1099" t="s">
        <v>279</v>
      </c>
      <c r="K1099" t="s">
        <v>280</v>
      </c>
      <c r="L1099">
        <v>57278</v>
      </c>
      <c r="M1099">
        <v>14.62</v>
      </c>
      <c r="N1099">
        <v>73.89</v>
      </c>
      <c r="P1099">
        <v>1</v>
      </c>
      <c r="R1099" t="s">
        <v>23</v>
      </c>
      <c r="S1099" t="s">
        <v>33</v>
      </c>
      <c r="T1099" t="s">
        <v>317</v>
      </c>
    </row>
    <row r="1100" spans="1:20" x14ac:dyDescent="0.25">
      <c r="A1100">
        <v>99</v>
      </c>
      <c r="B1100" t="str">
        <f>HYPERLINK("https://imapinvasives.natureserve.org/imap/services/page/Presence/529322.html", "View")</f>
        <v>View</v>
      </c>
      <c r="C1100">
        <v>529322</v>
      </c>
      <c r="D1100">
        <v>529322</v>
      </c>
      <c r="E1100" t="str">
        <f>HYPERLINK("http://imap3images.s3-website-us-east-1.amazonaws.com/529322/p/photourl1_2018_07_25_carmcmullen_el4hra03.jpg", "View")</f>
        <v>View</v>
      </c>
      <c r="F1100" t="s">
        <v>279</v>
      </c>
      <c r="G1100" t="s">
        <v>283</v>
      </c>
      <c r="H1100">
        <v>57278</v>
      </c>
      <c r="I1100" t="str">
        <f>HYPERLINK("https://www.inaturalist.org/taxa/57278-Ailanthus-altissima", "View")</f>
        <v>View</v>
      </c>
      <c r="J1100" t="s">
        <v>279</v>
      </c>
      <c r="K1100" t="s">
        <v>280</v>
      </c>
      <c r="L1100">
        <v>57278</v>
      </c>
      <c r="M1100">
        <v>33.44</v>
      </c>
      <c r="N1100">
        <v>21.13</v>
      </c>
      <c r="P1100">
        <v>1</v>
      </c>
      <c r="R1100" t="s">
        <v>23</v>
      </c>
      <c r="S1100" t="s">
        <v>39</v>
      </c>
      <c r="T1100" t="s">
        <v>317</v>
      </c>
    </row>
    <row r="1101" spans="1:20" x14ac:dyDescent="0.25">
      <c r="A1101">
        <v>100</v>
      </c>
      <c r="B1101" t="str">
        <f>HYPERLINK("https://imapinvasives.natureserve.org/imap/services/page/Presence/528614.html", "View")</f>
        <v>View</v>
      </c>
      <c r="C1101">
        <v>528614</v>
      </c>
      <c r="D1101">
        <v>528614</v>
      </c>
      <c r="E1101" t="str">
        <f>HYPERLINK("http://imap3images.s3-website-us-east-1.amazonaws.com/528614/p/photourl1_2018_07_11_mormotherwell_0qe7rcls.jpg", "View")</f>
        <v>View</v>
      </c>
      <c r="F1101" t="s">
        <v>279</v>
      </c>
      <c r="G1101" t="s">
        <v>283</v>
      </c>
      <c r="H1101">
        <v>57278</v>
      </c>
      <c r="I1101" t="str">
        <f>HYPERLINK("https://www.inaturalist.org/taxa/57278-Ailanthus-altissima", "View")</f>
        <v>View</v>
      </c>
      <c r="J1101" t="s">
        <v>279</v>
      </c>
      <c r="K1101" t="s">
        <v>280</v>
      </c>
      <c r="L1101">
        <v>57278</v>
      </c>
      <c r="M1101">
        <v>3.73</v>
      </c>
      <c r="N1101">
        <v>84.59</v>
      </c>
      <c r="P1101">
        <v>1</v>
      </c>
      <c r="R1101" t="s">
        <v>23</v>
      </c>
      <c r="S1101" t="s">
        <v>24</v>
      </c>
      <c r="T1101" t="s">
        <v>316</v>
      </c>
    </row>
  </sheetData>
  <dataValidations count="2">
    <dataValidation type="list" allowBlank="1" showInputMessage="1" showErrorMessage="1" sqref="S1:S101 S202:S1101" xr:uid="{143CD9D2-8CE5-4F16-82DD-C6AA1083A251}">
      <formula1>"Good photo, Bad-Photo taken from long distance, Bad-Multiple focused species, Bad-limited contrast, Bad-Blur Photo, Bad-Dried Stems, Bad-Focused Different Species"</formula1>
    </dataValidation>
    <dataValidation type="list" allowBlank="1" showInputMessage="1" showErrorMessage="1" sqref="R1:R1048576" xr:uid="{C8434BDE-7628-41B0-A199-5A79531B92DF}">
      <formula1>"iMap is only correct, iNat is only correct, Both iMap and iNat correct, Both iMap and iNat incorrect, Undeterminable"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Taposh Mollick</dc:creator>
  <cp:lastModifiedBy>Taposh Mollick</cp:lastModifiedBy>
  <dcterms:created xsi:type="dcterms:W3CDTF">2025-02-07T07:42:23Z</dcterms:created>
  <dcterms:modified xsi:type="dcterms:W3CDTF">2025-03-31T22:24:47Z</dcterms:modified>
</cp:coreProperties>
</file>