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mollick\Documents\iMapInvasives_NYNHP\Dataset_11_species\"/>
    </mc:Choice>
  </mc:AlternateContent>
  <xr:revisionPtr revIDLastSave="0" documentId="13_ncr:1_{31E42210-A434-4802-89B9-6CD153D302E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1" i="1" l="1"/>
  <c r="E101" i="1"/>
  <c r="B101" i="1"/>
  <c r="I100" i="1"/>
  <c r="E100" i="1"/>
  <c r="B100" i="1"/>
  <c r="I99" i="1"/>
  <c r="E99" i="1"/>
  <c r="B99" i="1"/>
  <c r="I98" i="1"/>
  <c r="E98" i="1"/>
  <c r="B98" i="1"/>
  <c r="I97" i="1"/>
  <c r="E97" i="1"/>
  <c r="B97" i="1"/>
  <c r="I96" i="1"/>
  <c r="E96" i="1"/>
  <c r="B96" i="1"/>
  <c r="I95" i="1"/>
  <c r="E95" i="1"/>
  <c r="B95" i="1"/>
  <c r="I94" i="1"/>
  <c r="E94" i="1"/>
  <c r="B94" i="1"/>
  <c r="I93" i="1"/>
  <c r="E93" i="1"/>
  <c r="B93" i="1"/>
  <c r="I92" i="1"/>
  <c r="E92" i="1"/>
  <c r="B92" i="1"/>
  <c r="I91" i="1"/>
  <c r="E91" i="1"/>
  <c r="B91" i="1"/>
  <c r="I90" i="1"/>
  <c r="E90" i="1"/>
  <c r="B90" i="1"/>
  <c r="I89" i="1"/>
  <c r="E89" i="1"/>
  <c r="B89" i="1"/>
  <c r="I88" i="1"/>
  <c r="E88" i="1"/>
  <c r="B88" i="1"/>
  <c r="I87" i="1"/>
  <c r="E87" i="1"/>
  <c r="B87" i="1"/>
  <c r="I86" i="1"/>
  <c r="E86" i="1"/>
  <c r="B86" i="1"/>
  <c r="I85" i="1"/>
  <c r="E85" i="1"/>
  <c r="B85" i="1"/>
  <c r="I84" i="1"/>
  <c r="E84" i="1"/>
  <c r="B84" i="1"/>
  <c r="I83" i="1"/>
  <c r="E83" i="1"/>
  <c r="B83" i="1"/>
  <c r="I82" i="1"/>
  <c r="E82" i="1"/>
  <c r="B82" i="1"/>
  <c r="I81" i="1"/>
  <c r="E81" i="1"/>
  <c r="B81" i="1"/>
  <c r="I80" i="1"/>
  <c r="E80" i="1"/>
  <c r="B80" i="1"/>
  <c r="I79" i="1"/>
  <c r="E79" i="1"/>
  <c r="B79" i="1"/>
  <c r="I78" i="1"/>
  <c r="E78" i="1"/>
  <c r="B78" i="1"/>
  <c r="I77" i="1"/>
  <c r="E77" i="1"/>
  <c r="B77" i="1"/>
  <c r="I76" i="1"/>
  <c r="E76" i="1"/>
  <c r="B76" i="1"/>
  <c r="I75" i="1"/>
  <c r="E75" i="1"/>
  <c r="B75" i="1"/>
  <c r="I74" i="1"/>
  <c r="E74" i="1"/>
  <c r="B74" i="1"/>
  <c r="I73" i="1"/>
  <c r="E73" i="1"/>
  <c r="B73" i="1"/>
  <c r="I72" i="1"/>
  <c r="E72" i="1"/>
  <c r="B72" i="1"/>
  <c r="I71" i="1"/>
  <c r="E71" i="1"/>
  <c r="B71" i="1"/>
  <c r="I70" i="1"/>
  <c r="E70" i="1"/>
  <c r="B70" i="1"/>
  <c r="I69" i="1"/>
  <c r="E69" i="1"/>
  <c r="B69" i="1"/>
  <c r="I68" i="1"/>
  <c r="E68" i="1"/>
  <c r="B68" i="1"/>
  <c r="I67" i="1"/>
  <c r="E67" i="1"/>
  <c r="B67" i="1"/>
  <c r="I66" i="1"/>
  <c r="E66" i="1"/>
  <c r="B66" i="1"/>
  <c r="I65" i="1"/>
  <c r="E65" i="1"/>
  <c r="B65" i="1"/>
  <c r="I64" i="1"/>
  <c r="E64" i="1"/>
  <c r="B64" i="1"/>
  <c r="I63" i="1"/>
  <c r="E63" i="1"/>
  <c r="B63" i="1"/>
  <c r="I62" i="1"/>
  <c r="E62" i="1"/>
  <c r="B62" i="1"/>
  <c r="I61" i="1"/>
  <c r="E61" i="1"/>
  <c r="B61" i="1"/>
  <c r="I60" i="1"/>
  <c r="E60" i="1"/>
  <c r="B60" i="1"/>
  <c r="I59" i="1"/>
  <c r="E59" i="1"/>
  <c r="B59" i="1"/>
  <c r="I58" i="1"/>
  <c r="E58" i="1"/>
  <c r="B58" i="1"/>
  <c r="I57" i="1"/>
  <c r="E57" i="1"/>
  <c r="B57" i="1"/>
  <c r="I56" i="1"/>
  <c r="E56" i="1"/>
  <c r="B56" i="1"/>
  <c r="I55" i="1"/>
  <c r="E55" i="1"/>
  <c r="B55" i="1"/>
  <c r="I54" i="1"/>
  <c r="E54" i="1"/>
  <c r="B54" i="1"/>
  <c r="I53" i="1"/>
  <c r="E53" i="1"/>
  <c r="B53" i="1"/>
  <c r="I52" i="1"/>
  <c r="E52" i="1"/>
  <c r="B52" i="1"/>
  <c r="I51" i="1"/>
  <c r="E51" i="1"/>
  <c r="B51" i="1"/>
  <c r="I50" i="1"/>
  <c r="E50" i="1"/>
  <c r="B50" i="1"/>
  <c r="I49" i="1"/>
  <c r="E49" i="1"/>
  <c r="B49" i="1"/>
  <c r="I48" i="1"/>
  <c r="E48" i="1"/>
  <c r="B48" i="1"/>
  <c r="I47" i="1"/>
  <c r="E47" i="1"/>
  <c r="B47" i="1"/>
  <c r="I46" i="1"/>
  <c r="E46" i="1"/>
  <c r="B46" i="1"/>
  <c r="I45" i="1"/>
  <c r="E45" i="1"/>
  <c r="B45" i="1"/>
  <c r="I44" i="1"/>
  <c r="E44" i="1"/>
  <c r="B44" i="1"/>
  <c r="I43" i="1"/>
  <c r="E43" i="1"/>
  <c r="B43" i="1"/>
  <c r="I42" i="1"/>
  <c r="E42" i="1"/>
  <c r="B42" i="1"/>
  <c r="I41" i="1"/>
  <c r="E41" i="1"/>
  <c r="B41" i="1"/>
  <c r="I40" i="1"/>
  <c r="E40" i="1"/>
  <c r="B40" i="1"/>
  <c r="I39" i="1"/>
  <c r="E39" i="1"/>
  <c r="B39" i="1"/>
  <c r="I38" i="1"/>
  <c r="E38" i="1"/>
  <c r="B38" i="1"/>
  <c r="I37" i="1"/>
  <c r="E37" i="1"/>
  <c r="B37" i="1"/>
  <c r="I36" i="1"/>
  <c r="E36" i="1"/>
  <c r="B36" i="1"/>
  <c r="I35" i="1"/>
  <c r="E35" i="1"/>
  <c r="B35" i="1"/>
  <c r="I34" i="1"/>
  <c r="E34" i="1"/>
  <c r="B34" i="1"/>
  <c r="I33" i="1"/>
  <c r="E33" i="1"/>
  <c r="B33" i="1"/>
  <c r="I32" i="1"/>
  <c r="E32" i="1"/>
  <c r="B32" i="1"/>
  <c r="I31" i="1"/>
  <c r="E31" i="1"/>
  <c r="B31" i="1"/>
  <c r="I30" i="1"/>
  <c r="E30" i="1"/>
  <c r="B30" i="1"/>
  <c r="I29" i="1"/>
  <c r="E29" i="1"/>
  <c r="B29" i="1"/>
  <c r="I28" i="1"/>
  <c r="E28" i="1"/>
  <c r="B28" i="1"/>
  <c r="I27" i="1"/>
  <c r="E27" i="1"/>
  <c r="B27" i="1"/>
  <c r="I26" i="1"/>
  <c r="E26" i="1"/>
  <c r="B26" i="1"/>
  <c r="I25" i="1"/>
  <c r="E25" i="1"/>
  <c r="B25" i="1"/>
  <c r="I24" i="1"/>
  <c r="E24" i="1"/>
  <c r="B24" i="1"/>
  <c r="I23" i="1"/>
  <c r="E23" i="1"/>
  <c r="B23" i="1"/>
  <c r="I22" i="1"/>
  <c r="E22" i="1"/>
  <c r="B22" i="1"/>
  <c r="I21" i="1"/>
  <c r="E21" i="1"/>
  <c r="B21" i="1"/>
  <c r="I20" i="1"/>
  <c r="E20" i="1"/>
  <c r="B20" i="1"/>
  <c r="I19" i="1"/>
  <c r="E19" i="1"/>
  <c r="B19" i="1"/>
  <c r="I18" i="1"/>
  <c r="E18" i="1"/>
  <c r="B18" i="1"/>
  <c r="I17" i="1"/>
  <c r="E17" i="1"/>
  <c r="B17" i="1"/>
  <c r="I16" i="1"/>
  <c r="E16" i="1"/>
  <c r="B16" i="1"/>
  <c r="I15" i="1"/>
  <c r="E15" i="1"/>
  <c r="B15" i="1"/>
  <c r="I14" i="1"/>
  <c r="E14" i="1"/>
  <c r="B14" i="1"/>
  <c r="I13" i="1"/>
  <c r="E13" i="1"/>
  <c r="B13" i="1"/>
  <c r="I12" i="1"/>
  <c r="E12" i="1"/>
  <c r="B12" i="1"/>
  <c r="I11" i="1"/>
  <c r="E11" i="1"/>
  <c r="B11" i="1"/>
  <c r="I10" i="1"/>
  <c r="E10" i="1"/>
  <c r="B10" i="1"/>
  <c r="I9" i="1"/>
  <c r="E9" i="1"/>
  <c r="B9" i="1"/>
  <c r="I8" i="1"/>
  <c r="E8" i="1"/>
  <c r="B8" i="1"/>
  <c r="I7" i="1"/>
  <c r="E7" i="1"/>
  <c r="B7" i="1"/>
  <c r="I6" i="1"/>
  <c r="E6" i="1"/>
  <c r="B6" i="1"/>
  <c r="I5" i="1"/>
  <c r="E5" i="1"/>
  <c r="B5" i="1"/>
  <c r="I4" i="1"/>
  <c r="E4" i="1"/>
  <c r="B4" i="1"/>
  <c r="I3" i="1"/>
  <c r="E3" i="1"/>
  <c r="B3" i="1"/>
  <c r="I2" i="1"/>
  <c r="E2" i="1"/>
  <c r="B2" i="1"/>
</calcChain>
</file>

<file path=xl/sharedStrings.xml><?xml version="1.0" encoding="utf-8"?>
<sst xmlns="http://schemas.openxmlformats.org/spreadsheetml/2006/main" count="725" uniqueCount="53">
  <si>
    <t>S.L.</t>
  </si>
  <si>
    <t>imaplink</t>
  </si>
  <si>
    <t>presenceId</t>
  </si>
  <si>
    <t>presentSpeciesId</t>
  </si>
  <si>
    <t>iMapPhoto</t>
  </si>
  <si>
    <t>imap_sci</t>
  </si>
  <si>
    <t>imap_com</t>
  </si>
  <si>
    <t>imap_record_taxon</t>
  </si>
  <si>
    <t>inatlink</t>
  </si>
  <si>
    <t>inat_sci</t>
  </si>
  <si>
    <t>inat_com</t>
  </si>
  <si>
    <t>inat_taxon</t>
  </si>
  <si>
    <t>geo_score</t>
  </si>
  <si>
    <t>com_score</t>
  </si>
  <si>
    <t>visual_model</t>
  </si>
  <si>
    <t>species_label</t>
  </si>
  <si>
    <t>com_status</t>
  </si>
  <si>
    <t>Verification</t>
  </si>
  <si>
    <t>Photo_quality</t>
  </si>
  <si>
    <t>Notes</t>
  </si>
  <si>
    <t>Litylenchus crenatae mccannii</t>
  </si>
  <si>
    <t>Beech leaf disease nematode</t>
  </si>
  <si>
    <t>Litylenchus crenatae</t>
  </si>
  <si>
    <t>Beech leaf disease</t>
  </si>
  <si>
    <t>Both iMap and iNat correct</t>
  </si>
  <si>
    <t>Good photo</t>
  </si>
  <si>
    <t>Fagus grandifolia</t>
  </si>
  <si>
    <t>American beech</t>
  </si>
  <si>
    <t>iNat is only correct</t>
  </si>
  <si>
    <t>Bad-Focused Different Species</t>
  </si>
  <si>
    <t>not bld</t>
  </si>
  <si>
    <t>Acalitus ferrugineum</t>
  </si>
  <si>
    <t>Beech erineum mite</t>
  </si>
  <si>
    <t>iMap is only correct</t>
  </si>
  <si>
    <t>Bad-Photo taken from long distance</t>
  </si>
  <si>
    <t>Magnolia acuminata</t>
  </si>
  <si>
    <t>Cucumber-tree</t>
  </si>
  <si>
    <t>Nyssa sylvatica</t>
  </si>
  <si>
    <t>Black tupelo</t>
  </si>
  <si>
    <t>Carpinus caroliniana</t>
  </si>
  <si>
    <t>American hornbeam</t>
  </si>
  <si>
    <t>Odocoileus virginianus</t>
  </si>
  <si>
    <t>White-tailed deer</t>
  </si>
  <si>
    <t xml:space="preserve">Undeterminable </t>
  </si>
  <si>
    <t>Smilax rotundifolia</t>
  </si>
  <si>
    <t>Roundleaf greenbrier</t>
  </si>
  <si>
    <t>likely bld</t>
  </si>
  <si>
    <t>Both iMap and iNat incorrect</t>
  </si>
  <si>
    <t>unsure of condition, but neither erineum mite nor bld</t>
  </si>
  <si>
    <t>Bad-Blur Photo</t>
  </si>
  <si>
    <t>only 1 symptomatic leaf, but does look like bld</t>
  </si>
  <si>
    <t>Bad-limited contrast</t>
  </si>
  <si>
    <t>blurred, and also might be a European beech tree based on leaf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</si>
</sst>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workbookViewId="0">
      <selection activeCell="O34" sqref="O34"/>
    </sheetView>
  </sheetViews>
  <sheetFormatPr defaultRowHeight="14.4" x14ac:dyDescent="0.3"/>
  <cols>
    <col min="18" max="18" width="10.6640625" bestFit="1" customWidth="1"/>
    <col min="19" max="19" width="33.33203125" bestFit="1" customWidth="1"/>
    <col min="20" max="20" width="33.332031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18</v>
      </c>
      <c r="U1" s="2" t="s">
        <v>19</v>
      </c>
    </row>
    <row r="2" spans="1:21" x14ac:dyDescent="0.3">
      <c r="A2">
        <v>1</v>
      </c>
      <c r="B2" t="str">
        <f>HYPERLINK("https://imapinvasives.natureserve.org/imap/services/page/Presence/1410322.html", "View")</f>
        <v>View</v>
      </c>
      <c r="C2">
        <v>1410322</v>
      </c>
      <c r="D2">
        <v>1422773</v>
      </c>
      <c r="E2" t="str">
        <f>HYPERLINK("http://imap3images.s3-website-us-east-1.amazonaws.com/1422773/p/imap_app_photo_1717528028859.jpg", "View")</f>
        <v>View</v>
      </c>
      <c r="F2" t="s">
        <v>20</v>
      </c>
      <c r="G2" t="s">
        <v>21</v>
      </c>
      <c r="H2">
        <v>1103716</v>
      </c>
      <c r="I2" t="str">
        <f>HYPERLINK("https://www.inaturalist.org/taxa/1103716-Litylenchus-crenatae", "View")</f>
        <v>View</v>
      </c>
      <c r="J2" t="s">
        <v>22</v>
      </c>
      <c r="K2" t="s">
        <v>23</v>
      </c>
      <c r="L2">
        <v>1103716</v>
      </c>
      <c r="M2">
        <v>9.33</v>
      </c>
      <c r="N2">
        <v>93.99</v>
      </c>
      <c r="P2">
        <v>1</v>
      </c>
      <c r="R2" t="s">
        <v>24</v>
      </c>
      <c r="S2" t="s">
        <v>25</v>
      </c>
      <c r="T2" t="s">
        <v>25</v>
      </c>
    </row>
    <row r="3" spans="1:21" x14ac:dyDescent="0.3">
      <c r="A3">
        <v>2</v>
      </c>
      <c r="B3" t="str">
        <f>HYPERLINK("https://imapinvasives.natureserve.org/imap/services/page/Presence/1409419.html", "View")</f>
        <v>View</v>
      </c>
      <c r="C3">
        <v>1409419</v>
      </c>
      <c r="D3">
        <v>1421839</v>
      </c>
      <c r="E3" t="str">
        <f>HYPERLINK("http://imap3images.s3-website-us-east-1.amazonaws.com/1421839/p/imap_app_photo_1717074362998.jpg", "View")</f>
        <v>View</v>
      </c>
      <c r="F3" t="s">
        <v>20</v>
      </c>
      <c r="G3" t="s">
        <v>21</v>
      </c>
      <c r="H3">
        <v>1103716</v>
      </c>
      <c r="I3" t="str">
        <f>HYPERLINK("https://www.inaturalist.org/taxa/1103716-Litylenchus-crenatae", "View")</f>
        <v>View</v>
      </c>
      <c r="J3" t="s">
        <v>22</v>
      </c>
      <c r="K3" t="s">
        <v>23</v>
      </c>
      <c r="L3">
        <v>1103716</v>
      </c>
      <c r="M3">
        <v>9.33</v>
      </c>
      <c r="N3">
        <v>94.06</v>
      </c>
      <c r="P3">
        <v>1</v>
      </c>
      <c r="R3" t="s">
        <v>24</v>
      </c>
      <c r="S3" t="s">
        <v>25</v>
      </c>
      <c r="T3" t="s">
        <v>25</v>
      </c>
    </row>
    <row r="4" spans="1:21" x14ac:dyDescent="0.3">
      <c r="A4">
        <v>3</v>
      </c>
      <c r="B4" t="str">
        <f>HYPERLINK("https://imapinvasives.natureserve.org/imap/services/page/Presence/1062878.html", "View")</f>
        <v>View</v>
      </c>
      <c r="C4">
        <v>1062878</v>
      </c>
      <c r="D4">
        <v>1067548</v>
      </c>
      <c r="E4" t="str">
        <f>HYPERLINK("http://imap3images.s3-website-us-east-1.amazonaws.com/1067548/p/IMG_7607.JPG", "View")</f>
        <v>View</v>
      </c>
      <c r="F4" t="s">
        <v>20</v>
      </c>
      <c r="G4" t="s">
        <v>21</v>
      </c>
      <c r="H4">
        <v>1103716</v>
      </c>
      <c r="I4" t="str">
        <f>HYPERLINK("https://www.inaturalist.org/taxa/1103716-Litylenchus-crenatae", "View")</f>
        <v>View</v>
      </c>
      <c r="J4" t="s">
        <v>22</v>
      </c>
      <c r="K4" t="s">
        <v>23</v>
      </c>
      <c r="L4">
        <v>1103716</v>
      </c>
      <c r="M4">
        <v>7.9</v>
      </c>
      <c r="N4">
        <v>74.069999999999993</v>
      </c>
      <c r="P4">
        <v>1</v>
      </c>
      <c r="R4" t="s">
        <v>24</v>
      </c>
      <c r="S4" t="s">
        <v>25</v>
      </c>
      <c r="T4" t="s">
        <v>25</v>
      </c>
    </row>
    <row r="5" spans="1:21" x14ac:dyDescent="0.3">
      <c r="A5">
        <v>4</v>
      </c>
      <c r="B5" t="str">
        <f>HYPERLINK("https://imapinvasives.natureserve.org/imap/services/page/Presence/1054189.html", "View")</f>
        <v>View</v>
      </c>
      <c r="C5">
        <v>1054189</v>
      </c>
      <c r="D5">
        <v>1058523</v>
      </c>
      <c r="E5" t="str">
        <f>HYPERLINK("http://imap3images.s3-website-us-east-1.amazonaws.com/1058523/p/IMG_7162.JPG", "View")</f>
        <v>View</v>
      </c>
      <c r="F5" t="s">
        <v>20</v>
      </c>
      <c r="G5" t="s">
        <v>21</v>
      </c>
      <c r="H5">
        <v>1103716</v>
      </c>
      <c r="I5" t="str">
        <f>HYPERLINK("https://www.inaturalist.org/taxa/1103716-Litylenchus-crenatae", "View")</f>
        <v>View</v>
      </c>
      <c r="J5" t="s">
        <v>22</v>
      </c>
      <c r="K5" t="s">
        <v>23</v>
      </c>
      <c r="L5">
        <v>1103716</v>
      </c>
      <c r="M5">
        <v>7.9</v>
      </c>
      <c r="N5">
        <v>89.51</v>
      </c>
      <c r="P5">
        <v>1</v>
      </c>
      <c r="R5" t="s">
        <v>24</v>
      </c>
      <c r="S5" t="s">
        <v>25</v>
      </c>
      <c r="T5" t="s">
        <v>25</v>
      </c>
    </row>
    <row r="6" spans="1:21" x14ac:dyDescent="0.3">
      <c r="A6">
        <v>5</v>
      </c>
      <c r="B6" t="str">
        <f>HYPERLINK("https://imapinvasives.natureserve.org/imap/services/page/Presence/1150463.html", "View")</f>
        <v>View</v>
      </c>
      <c r="C6">
        <v>1150463</v>
      </c>
      <c r="D6">
        <v>1157323</v>
      </c>
      <c r="E6" t="str">
        <f>HYPERLINK("http://imap3images.s3-website-us-east-1.amazonaws.com/1157323/p/inat_photo_125907339.jpg", "View")</f>
        <v>View</v>
      </c>
      <c r="F6" t="s">
        <v>20</v>
      </c>
      <c r="G6" t="s">
        <v>21</v>
      </c>
      <c r="H6">
        <v>1103716</v>
      </c>
      <c r="I6" t="str">
        <f>HYPERLINK("https://www.inaturalist.org/taxa/1103716-Litylenchus-crenatae", "View")</f>
        <v>View</v>
      </c>
      <c r="J6" t="s">
        <v>22</v>
      </c>
      <c r="K6" t="s">
        <v>23</v>
      </c>
      <c r="L6">
        <v>1103716</v>
      </c>
      <c r="M6">
        <v>45.38</v>
      </c>
      <c r="N6">
        <v>99.8</v>
      </c>
      <c r="P6">
        <v>1</v>
      </c>
      <c r="R6" t="s">
        <v>24</v>
      </c>
      <c r="S6" t="s">
        <v>25</v>
      </c>
      <c r="T6" t="s">
        <v>25</v>
      </c>
    </row>
    <row r="7" spans="1:21" s="3" customFormat="1" x14ac:dyDescent="0.3">
      <c r="A7" s="3">
        <v>6</v>
      </c>
      <c r="B7" s="3" t="str">
        <f>HYPERLINK("https://imapinvasives.natureserve.org/imap/services/page/Presence/1150464.html", "View")</f>
        <v>View</v>
      </c>
      <c r="C7" s="3">
        <v>1150464</v>
      </c>
      <c r="D7" s="3">
        <v>1157324</v>
      </c>
      <c r="E7" s="3" t="str">
        <f>HYPERLINK("http://imap3images.s3-website-us-east-1.amazonaws.com/1157324/p/inat_photo_127764591.jpg", "View")</f>
        <v>View</v>
      </c>
      <c r="F7" s="3" t="s">
        <v>20</v>
      </c>
      <c r="G7" s="3" t="s">
        <v>21</v>
      </c>
      <c r="H7" s="3">
        <v>1103716</v>
      </c>
      <c r="I7" s="3" t="str">
        <f>HYPERLINK("https://www.inaturalist.org/taxa/49202-Fagus-grandifolia", "View")</f>
        <v>View</v>
      </c>
      <c r="J7" s="3" t="s">
        <v>26</v>
      </c>
      <c r="K7" s="3" t="s">
        <v>27</v>
      </c>
      <c r="L7" s="3">
        <v>49202</v>
      </c>
      <c r="M7" s="3">
        <v>75.53</v>
      </c>
      <c r="N7" s="3">
        <v>83.95</v>
      </c>
      <c r="P7" s="3">
        <v>0</v>
      </c>
      <c r="R7" s="3" t="s">
        <v>28</v>
      </c>
      <c r="S7" s="3" t="s">
        <v>29</v>
      </c>
      <c r="T7" s="3" t="s">
        <v>29</v>
      </c>
      <c r="U7" s="3" t="s">
        <v>30</v>
      </c>
    </row>
    <row r="8" spans="1:21" x14ac:dyDescent="0.3">
      <c r="A8">
        <v>7</v>
      </c>
      <c r="B8" t="str">
        <f>HYPERLINK("https://imapinvasives.natureserve.org/imap/services/page/Presence/1438982.html", "View")</f>
        <v>View</v>
      </c>
      <c r="C8">
        <v>1438982</v>
      </c>
      <c r="D8">
        <v>1453303</v>
      </c>
      <c r="E8" t="str">
        <f>HYPERLINK("http://imap3images.s3-website-us-east-1.amazonaws.com/1453303/p/imap_app_photo_1723051278515.jpg", "View")</f>
        <v>View</v>
      </c>
      <c r="F8" t="s">
        <v>20</v>
      </c>
      <c r="G8" t="s">
        <v>21</v>
      </c>
      <c r="H8">
        <v>1103716</v>
      </c>
      <c r="I8" t="str">
        <f t="shared" ref="I8:I22" si="0">HYPERLINK("https://www.inaturalist.org/taxa/1103716-Litylenchus-crenatae", "View")</f>
        <v>View</v>
      </c>
      <c r="J8" t="s">
        <v>22</v>
      </c>
      <c r="K8" t="s">
        <v>23</v>
      </c>
      <c r="L8">
        <v>1103716</v>
      </c>
      <c r="M8">
        <v>7.81</v>
      </c>
      <c r="N8">
        <v>98.75</v>
      </c>
      <c r="P8">
        <v>1</v>
      </c>
      <c r="R8" t="s">
        <v>24</v>
      </c>
      <c r="S8" t="s">
        <v>25</v>
      </c>
      <c r="T8" t="s">
        <v>25</v>
      </c>
    </row>
    <row r="9" spans="1:21" x14ac:dyDescent="0.3">
      <c r="A9">
        <v>8</v>
      </c>
      <c r="B9" t="str">
        <f>HYPERLINK("https://imapinvasives.natureserve.org/imap/services/page/Presence/1355978.html", "View")</f>
        <v>View</v>
      </c>
      <c r="C9">
        <v>1355978</v>
      </c>
      <c r="D9">
        <v>1373611</v>
      </c>
      <c r="E9" t="str">
        <f>HYPERLINK("http://imap3images.s3-website-us-east-1.amazonaws.com/1373611/p/BLDBroome.jpg", "View")</f>
        <v>View</v>
      </c>
      <c r="F9" t="s">
        <v>20</v>
      </c>
      <c r="G9" t="s">
        <v>21</v>
      </c>
      <c r="H9">
        <v>1103716</v>
      </c>
      <c r="I9" t="str">
        <f t="shared" si="0"/>
        <v>View</v>
      </c>
      <c r="J9" t="s">
        <v>22</v>
      </c>
      <c r="K9" t="s">
        <v>23</v>
      </c>
      <c r="L9">
        <v>1103716</v>
      </c>
      <c r="M9">
        <v>9.1300000000000008</v>
      </c>
      <c r="N9">
        <v>99.75</v>
      </c>
      <c r="P9">
        <v>1</v>
      </c>
      <c r="R9" t="s">
        <v>24</v>
      </c>
      <c r="S9" t="s">
        <v>25</v>
      </c>
      <c r="T9" t="s">
        <v>25</v>
      </c>
    </row>
    <row r="10" spans="1:21" x14ac:dyDescent="0.3">
      <c r="A10">
        <v>9</v>
      </c>
      <c r="B10" t="str">
        <f>HYPERLINK("https://imapinvasives.natureserve.org/imap/services/page/Presence/1274854.html", "View")</f>
        <v>View</v>
      </c>
      <c r="C10">
        <v>1274854</v>
      </c>
      <c r="D10">
        <v>1284162</v>
      </c>
      <c r="E10" t="str">
        <f>HYPERLINK("http://imap3images.s3-website-us-east-1.amazonaws.com/1284162/p/imap_app_photo_1655306017058.jpg", "View")</f>
        <v>View</v>
      </c>
      <c r="F10" t="s">
        <v>20</v>
      </c>
      <c r="G10" t="s">
        <v>21</v>
      </c>
      <c r="H10">
        <v>1103716</v>
      </c>
      <c r="I10" t="str">
        <f t="shared" si="0"/>
        <v>View</v>
      </c>
      <c r="J10" t="s">
        <v>22</v>
      </c>
      <c r="K10" t="s">
        <v>23</v>
      </c>
      <c r="L10">
        <v>1103716</v>
      </c>
      <c r="M10">
        <v>9.69</v>
      </c>
      <c r="N10">
        <v>64.92</v>
      </c>
      <c r="P10">
        <v>1</v>
      </c>
      <c r="R10" t="s">
        <v>24</v>
      </c>
      <c r="S10" t="s">
        <v>25</v>
      </c>
      <c r="T10" t="s">
        <v>25</v>
      </c>
    </row>
    <row r="11" spans="1:21" x14ac:dyDescent="0.3">
      <c r="A11">
        <v>10</v>
      </c>
      <c r="B11" t="str">
        <f>HYPERLINK("https://imapinvasives.natureserve.org/imap/services/page/Presence/1282591.html", "View")</f>
        <v>View</v>
      </c>
      <c r="C11">
        <v>1282591</v>
      </c>
      <c r="D11">
        <v>1292064</v>
      </c>
      <c r="E11" t="str">
        <f>HYPERLINK("http://imap3images.s3-website-us-east-1.amazonaws.com/1292064/p/imap_app_photo_1658013613779.jpg", "View")</f>
        <v>View</v>
      </c>
      <c r="F11" t="s">
        <v>20</v>
      </c>
      <c r="G11" t="s">
        <v>21</v>
      </c>
      <c r="H11">
        <v>1103716</v>
      </c>
      <c r="I11" t="str">
        <f t="shared" si="0"/>
        <v>View</v>
      </c>
      <c r="J11" t="s">
        <v>22</v>
      </c>
      <c r="K11" t="s">
        <v>23</v>
      </c>
      <c r="L11">
        <v>1103716</v>
      </c>
      <c r="M11">
        <v>8.11</v>
      </c>
      <c r="N11">
        <v>63.61</v>
      </c>
      <c r="P11">
        <v>1</v>
      </c>
      <c r="R11" t="s">
        <v>24</v>
      </c>
      <c r="S11" t="s">
        <v>25</v>
      </c>
      <c r="T11" t="s">
        <v>25</v>
      </c>
    </row>
    <row r="12" spans="1:21" x14ac:dyDescent="0.3">
      <c r="A12">
        <v>11</v>
      </c>
      <c r="B12" t="str">
        <f>HYPERLINK("https://imapinvasives.natureserve.org/imap/services/page/Presence/1395814.html", "View")</f>
        <v>View</v>
      </c>
      <c r="C12">
        <v>1395814</v>
      </c>
      <c r="D12">
        <v>1414267</v>
      </c>
      <c r="E12" t="str">
        <f>HYPERLINK("http://imap3images.s3-website-us-east-1.amazonaws.com/1414267/p/imap_app_photo_1715295124115.jpg", "View")</f>
        <v>View</v>
      </c>
      <c r="F12" t="s">
        <v>20</v>
      </c>
      <c r="G12" t="s">
        <v>21</v>
      </c>
      <c r="H12">
        <v>1103716</v>
      </c>
      <c r="I12" t="str">
        <f t="shared" si="0"/>
        <v>View</v>
      </c>
      <c r="J12" t="s">
        <v>22</v>
      </c>
      <c r="K12" t="s">
        <v>23</v>
      </c>
      <c r="L12">
        <v>1103716</v>
      </c>
      <c r="M12">
        <v>5.59</v>
      </c>
      <c r="N12">
        <v>97.62</v>
      </c>
      <c r="P12">
        <v>1</v>
      </c>
      <c r="R12" t="s">
        <v>24</v>
      </c>
      <c r="S12" t="s">
        <v>25</v>
      </c>
      <c r="T12" t="s">
        <v>25</v>
      </c>
    </row>
    <row r="13" spans="1:21" x14ac:dyDescent="0.3">
      <c r="A13">
        <v>12</v>
      </c>
      <c r="B13" t="str">
        <f>HYPERLINK("https://imapinvasives.natureserve.org/imap/services/page/Presence/1413865.html", "View")</f>
        <v>View</v>
      </c>
      <c r="C13">
        <v>1413865</v>
      </c>
      <c r="D13">
        <v>1427364</v>
      </c>
      <c r="E13" t="str">
        <f>HYPERLINK("http://imap3images.s3-website-us-east-1.amazonaws.com/1427364/p/IMG_20240629_095851802.jpg", "View")</f>
        <v>View</v>
      </c>
      <c r="F13" t="s">
        <v>20</v>
      </c>
      <c r="G13" t="s">
        <v>21</v>
      </c>
      <c r="H13">
        <v>1103716</v>
      </c>
      <c r="I13" t="str">
        <f t="shared" si="0"/>
        <v>View</v>
      </c>
      <c r="J13" t="s">
        <v>22</v>
      </c>
      <c r="K13" t="s">
        <v>23</v>
      </c>
      <c r="L13">
        <v>1103716</v>
      </c>
      <c r="M13">
        <v>5.59</v>
      </c>
      <c r="N13">
        <v>96.43</v>
      </c>
      <c r="P13">
        <v>1</v>
      </c>
      <c r="R13" t="s">
        <v>24</v>
      </c>
      <c r="S13" t="s">
        <v>25</v>
      </c>
      <c r="T13" t="s">
        <v>25</v>
      </c>
    </row>
    <row r="14" spans="1:21" x14ac:dyDescent="0.3">
      <c r="A14">
        <v>13</v>
      </c>
      <c r="B14" t="str">
        <f>HYPERLINK("https://imapinvasives.natureserve.org/imap/services/page/Presence/1146390.html", "View")</f>
        <v>View</v>
      </c>
      <c r="C14">
        <v>1146390</v>
      </c>
      <c r="D14">
        <v>1153000</v>
      </c>
      <c r="E14" t="str">
        <f>HYPERLINK("http://imap3images.s3-website-us-east-1.amazonaws.com/1153000/p/HH_Beech.JPG", "View")</f>
        <v>View</v>
      </c>
      <c r="F14" t="s">
        <v>20</v>
      </c>
      <c r="G14" t="s">
        <v>21</v>
      </c>
      <c r="H14">
        <v>1103716</v>
      </c>
      <c r="I14" t="str">
        <f t="shared" si="0"/>
        <v>View</v>
      </c>
      <c r="J14" t="s">
        <v>22</v>
      </c>
      <c r="K14" t="s">
        <v>23</v>
      </c>
      <c r="L14">
        <v>1103716</v>
      </c>
      <c r="M14">
        <v>12.08</v>
      </c>
      <c r="N14">
        <v>99.49</v>
      </c>
      <c r="P14">
        <v>1</v>
      </c>
      <c r="R14" t="s">
        <v>24</v>
      </c>
      <c r="S14" t="s">
        <v>25</v>
      </c>
      <c r="T14" t="s">
        <v>25</v>
      </c>
    </row>
    <row r="15" spans="1:21" x14ac:dyDescent="0.3">
      <c r="A15">
        <v>14</v>
      </c>
      <c r="B15" t="str">
        <f>HYPERLINK("https://imapinvasives.natureserve.org/imap/services/page/Presence/1341737.html", "View")</f>
        <v>View</v>
      </c>
      <c r="C15">
        <v>1341737</v>
      </c>
      <c r="D15">
        <v>1357095</v>
      </c>
      <c r="E15" t="str">
        <f>HYPERLINK("http://imap3images.s3-website-us-east-1.amazonaws.com/1357095/p/imap_app_photo_1690216464379.jpg", "View")</f>
        <v>View</v>
      </c>
      <c r="F15" t="s">
        <v>20</v>
      </c>
      <c r="G15" t="s">
        <v>21</v>
      </c>
      <c r="H15">
        <v>1103716</v>
      </c>
      <c r="I15" t="str">
        <f t="shared" si="0"/>
        <v>View</v>
      </c>
      <c r="J15" t="s">
        <v>22</v>
      </c>
      <c r="K15" t="s">
        <v>23</v>
      </c>
      <c r="L15">
        <v>1103716</v>
      </c>
      <c r="M15">
        <v>12.08</v>
      </c>
      <c r="N15">
        <v>98.8</v>
      </c>
      <c r="P15">
        <v>1</v>
      </c>
      <c r="R15" t="s">
        <v>24</v>
      </c>
      <c r="S15" t="s">
        <v>25</v>
      </c>
      <c r="T15" t="s">
        <v>25</v>
      </c>
    </row>
    <row r="16" spans="1:21" x14ac:dyDescent="0.3">
      <c r="A16">
        <v>15</v>
      </c>
      <c r="B16" t="str">
        <f>HYPERLINK("https://imapinvasives.natureserve.org/imap/services/page/Presence/1348181.html", "View")</f>
        <v>View</v>
      </c>
      <c r="C16">
        <v>1348181</v>
      </c>
      <c r="D16">
        <v>1364876</v>
      </c>
      <c r="E16" t="str">
        <f>HYPERLINK("http://imap3images.s3-website-us-east-1.amazonaws.com/1364876/p/imap_app_photo_1691973517055.jpg", "View")</f>
        <v>View</v>
      </c>
      <c r="F16" t="s">
        <v>20</v>
      </c>
      <c r="G16" t="s">
        <v>21</v>
      </c>
      <c r="H16">
        <v>1103716</v>
      </c>
      <c r="I16" t="str">
        <f t="shared" si="0"/>
        <v>View</v>
      </c>
      <c r="J16" t="s">
        <v>22</v>
      </c>
      <c r="K16" t="s">
        <v>23</v>
      </c>
      <c r="L16">
        <v>1103716</v>
      </c>
      <c r="M16">
        <v>8.6999999999999993</v>
      </c>
      <c r="N16">
        <v>99.42</v>
      </c>
      <c r="P16">
        <v>1</v>
      </c>
      <c r="R16" t="s">
        <v>24</v>
      </c>
      <c r="S16" t="s">
        <v>25</v>
      </c>
      <c r="T16" t="s">
        <v>25</v>
      </c>
    </row>
    <row r="17" spans="1:21" x14ac:dyDescent="0.3">
      <c r="A17">
        <v>16</v>
      </c>
      <c r="B17" t="str">
        <f>HYPERLINK("https://imapinvasives.natureserve.org/imap/services/page/Presence/1349578.html", "View")</f>
        <v>View</v>
      </c>
      <c r="C17">
        <v>1349578</v>
      </c>
      <c r="D17">
        <v>1366523</v>
      </c>
      <c r="E17" t="str">
        <f>HYPERLINK("http://imap3images.s3-website-us-east-1.amazonaws.com/1366523/p/Catling_BLD_2.JPG", "View")</f>
        <v>View</v>
      </c>
      <c r="F17" t="s">
        <v>20</v>
      </c>
      <c r="G17" t="s">
        <v>21</v>
      </c>
      <c r="H17">
        <v>1103716</v>
      </c>
      <c r="I17" t="str">
        <f t="shared" si="0"/>
        <v>View</v>
      </c>
      <c r="J17" t="s">
        <v>22</v>
      </c>
      <c r="K17" t="s">
        <v>23</v>
      </c>
      <c r="L17">
        <v>1103716</v>
      </c>
      <c r="M17">
        <v>8.6999999999999993</v>
      </c>
      <c r="N17">
        <v>84.87</v>
      </c>
      <c r="P17">
        <v>1</v>
      </c>
      <c r="R17" t="s">
        <v>24</v>
      </c>
      <c r="S17" t="s">
        <v>25</v>
      </c>
      <c r="T17" t="s">
        <v>25</v>
      </c>
    </row>
    <row r="18" spans="1:21" x14ac:dyDescent="0.3">
      <c r="A18">
        <v>17</v>
      </c>
      <c r="B18" t="str">
        <f>HYPERLINK("https://imapinvasives.natureserve.org/imap/services/page/Presence/1418041.html", "View")</f>
        <v>View</v>
      </c>
      <c r="C18">
        <v>1418041</v>
      </c>
      <c r="D18">
        <v>1431689</v>
      </c>
      <c r="E18" t="str">
        <f>HYPERLINK("http://imap3images.s3-website-us-east-1.amazonaws.com/1431689/p/imap_app_photo_1720708102127.jpg", "View")</f>
        <v>View</v>
      </c>
      <c r="F18" t="s">
        <v>20</v>
      </c>
      <c r="G18" t="s">
        <v>21</v>
      </c>
      <c r="H18">
        <v>1103716</v>
      </c>
      <c r="I18" t="str">
        <f t="shared" si="0"/>
        <v>View</v>
      </c>
      <c r="J18" t="s">
        <v>22</v>
      </c>
      <c r="K18" t="s">
        <v>23</v>
      </c>
      <c r="L18">
        <v>1103716</v>
      </c>
      <c r="M18">
        <v>5.94</v>
      </c>
      <c r="N18">
        <v>94.65</v>
      </c>
      <c r="P18">
        <v>1</v>
      </c>
      <c r="R18" t="s">
        <v>24</v>
      </c>
      <c r="S18" t="s">
        <v>25</v>
      </c>
      <c r="T18" t="s">
        <v>25</v>
      </c>
    </row>
    <row r="19" spans="1:21" x14ac:dyDescent="0.3">
      <c r="A19">
        <v>18</v>
      </c>
      <c r="B19" t="str">
        <f>HYPERLINK("https://imapinvasives.natureserve.org/imap/services/page/Presence/1410144.html", "View")</f>
        <v>View</v>
      </c>
      <c r="C19">
        <v>1410144</v>
      </c>
      <c r="D19">
        <v>1422593</v>
      </c>
      <c r="E19" t="str">
        <f>HYPERLINK("http://imap3images.s3-website-us-east-1.amazonaws.com/1422593/p/imap_app_photo_1717417660553.jpg", "View")</f>
        <v>View</v>
      </c>
      <c r="F19" t="s">
        <v>20</v>
      </c>
      <c r="G19" t="s">
        <v>21</v>
      </c>
      <c r="H19">
        <v>1103716</v>
      </c>
      <c r="I19" t="str">
        <f t="shared" si="0"/>
        <v>View</v>
      </c>
      <c r="J19" t="s">
        <v>22</v>
      </c>
      <c r="K19" t="s">
        <v>23</v>
      </c>
      <c r="L19">
        <v>1103716</v>
      </c>
      <c r="M19">
        <v>5.94</v>
      </c>
      <c r="N19">
        <v>94.65</v>
      </c>
      <c r="P19">
        <v>1</v>
      </c>
      <c r="R19" t="s">
        <v>24</v>
      </c>
      <c r="S19" t="s">
        <v>25</v>
      </c>
      <c r="T19" t="s">
        <v>25</v>
      </c>
    </row>
    <row r="20" spans="1:21" x14ac:dyDescent="0.3">
      <c r="A20">
        <v>19</v>
      </c>
      <c r="B20" t="str">
        <f>HYPERLINK("https://imapinvasives.natureserve.org/imap/services/page/Presence/1409147.html", "View")</f>
        <v>View</v>
      </c>
      <c r="C20">
        <v>1409147</v>
      </c>
      <c r="D20">
        <v>1421550</v>
      </c>
      <c r="E20" t="str">
        <f>HYPERLINK("http://imap3images.s3-website-us-east-1.amazonaws.com/1421550/p/imap_app_photo_1716739517536.jpg", "View")</f>
        <v>View</v>
      </c>
      <c r="F20" t="s">
        <v>20</v>
      </c>
      <c r="G20" t="s">
        <v>21</v>
      </c>
      <c r="H20">
        <v>1103716</v>
      </c>
      <c r="I20" t="str">
        <f t="shared" si="0"/>
        <v>View</v>
      </c>
      <c r="J20" t="s">
        <v>22</v>
      </c>
      <c r="K20" t="s">
        <v>23</v>
      </c>
      <c r="L20">
        <v>1103716</v>
      </c>
      <c r="M20">
        <v>16.670000000000002</v>
      </c>
      <c r="N20">
        <v>96.05</v>
      </c>
      <c r="P20">
        <v>1</v>
      </c>
      <c r="R20" t="s">
        <v>24</v>
      </c>
      <c r="S20" t="s">
        <v>25</v>
      </c>
      <c r="T20" t="s">
        <v>25</v>
      </c>
    </row>
    <row r="21" spans="1:21" x14ac:dyDescent="0.3">
      <c r="A21">
        <v>20</v>
      </c>
      <c r="B21" t="str">
        <f>HYPERLINK("https://imapinvasives.natureserve.org/imap/services/page/Presence/1443576.html", "View")</f>
        <v>View</v>
      </c>
      <c r="C21">
        <v>1443576</v>
      </c>
      <c r="D21">
        <v>1458209</v>
      </c>
      <c r="E21" t="str">
        <f>HYPERLINK("http://imap3images.s3-website-us-east-1.amazonaws.com/1458209/p/IMG_9099.jpeg", "View")</f>
        <v>View</v>
      </c>
      <c r="F21" t="s">
        <v>20</v>
      </c>
      <c r="G21" t="s">
        <v>21</v>
      </c>
      <c r="H21">
        <v>1103716</v>
      </c>
      <c r="I21" t="str">
        <f t="shared" si="0"/>
        <v>View</v>
      </c>
      <c r="J21" t="s">
        <v>22</v>
      </c>
      <c r="K21" t="s">
        <v>23</v>
      </c>
      <c r="L21">
        <v>1103716</v>
      </c>
      <c r="M21">
        <v>16.670000000000002</v>
      </c>
      <c r="N21">
        <v>84.59</v>
      </c>
      <c r="P21">
        <v>1</v>
      </c>
      <c r="R21" t="s">
        <v>24</v>
      </c>
      <c r="S21" t="s">
        <v>25</v>
      </c>
      <c r="T21" t="s">
        <v>25</v>
      </c>
    </row>
    <row r="22" spans="1:21" x14ac:dyDescent="0.3">
      <c r="A22">
        <v>21</v>
      </c>
      <c r="B22" t="str">
        <f>HYPERLINK("https://imapinvasives.natureserve.org/imap/services/page/Presence/1437996.html", "View")</f>
        <v>View</v>
      </c>
      <c r="C22">
        <v>1437996</v>
      </c>
      <c r="D22">
        <v>1452238</v>
      </c>
      <c r="E22" t="str">
        <f>HYPERLINK("http://imap3images.s3-website-us-east-1.amazonaws.com/1452238/p/IMG_E8458.JPG", "View")</f>
        <v>View</v>
      </c>
      <c r="F22" t="s">
        <v>20</v>
      </c>
      <c r="G22" t="s">
        <v>21</v>
      </c>
      <c r="H22">
        <v>1103716</v>
      </c>
      <c r="I22" t="str">
        <f t="shared" si="0"/>
        <v>View</v>
      </c>
      <c r="J22" t="s">
        <v>22</v>
      </c>
      <c r="K22" t="s">
        <v>23</v>
      </c>
      <c r="L22">
        <v>1103716</v>
      </c>
      <c r="M22">
        <v>5.94</v>
      </c>
      <c r="N22">
        <v>68.319999999999993</v>
      </c>
      <c r="P22">
        <v>1</v>
      </c>
      <c r="R22" t="s">
        <v>24</v>
      </c>
      <c r="S22" t="s">
        <v>25</v>
      </c>
      <c r="T22" t="s">
        <v>25</v>
      </c>
    </row>
    <row r="23" spans="1:21" s="3" customFormat="1" x14ac:dyDescent="0.3">
      <c r="A23" s="3">
        <v>22</v>
      </c>
      <c r="B23" s="3" t="str">
        <f>HYPERLINK("https://imapinvasives.natureserve.org/imap/services/page/Presence/1439929.html", "View")</f>
        <v>View</v>
      </c>
      <c r="C23" s="3">
        <v>1439929</v>
      </c>
      <c r="D23" s="3">
        <v>1454369</v>
      </c>
      <c r="E23" s="3" t="str">
        <f>HYPERLINK("http://imap3images.s3-website-us-east-1.amazonaws.com/1454369/p/imap_app_photo_1723567567730.jpg", "View")</f>
        <v>View</v>
      </c>
      <c r="F23" s="3" t="s">
        <v>20</v>
      </c>
      <c r="G23" s="3" t="s">
        <v>21</v>
      </c>
      <c r="H23" s="3">
        <v>1103716</v>
      </c>
      <c r="I23" s="3" t="str">
        <f>HYPERLINK("https://www.inaturalist.org/taxa/49202-Fagus-grandifolia", "View")</f>
        <v>View</v>
      </c>
      <c r="J23" s="3" t="s">
        <v>26</v>
      </c>
      <c r="K23" s="3" t="s">
        <v>27</v>
      </c>
      <c r="L23" s="3">
        <v>49202</v>
      </c>
      <c r="M23" s="3">
        <v>31.79</v>
      </c>
      <c r="N23" s="3">
        <v>69.38</v>
      </c>
      <c r="P23" s="3">
        <v>0</v>
      </c>
      <c r="R23" s="3" t="s">
        <v>33</v>
      </c>
      <c r="S23" s="3" t="s">
        <v>25</v>
      </c>
      <c r="T23" s="3" t="s">
        <v>25</v>
      </c>
      <c r="U23" s="3" t="s">
        <v>46</v>
      </c>
    </row>
    <row r="24" spans="1:21" s="3" customFormat="1" x14ac:dyDescent="0.3">
      <c r="A24" s="3">
        <v>23</v>
      </c>
      <c r="B24" s="3" t="str">
        <f>HYPERLINK("https://imapinvasives.natureserve.org/imap/services/page/Presence/1337654.html", "View")</f>
        <v>View</v>
      </c>
      <c r="C24" s="3">
        <v>1337654</v>
      </c>
      <c r="D24" s="3">
        <v>1352231</v>
      </c>
      <c r="E24" s="3" t="str">
        <f>HYPERLINK("http://imap3images.s3-website-us-east-1.amazonaws.com/1352231/p/2023_6.22_Beech_Leaf_Disease_Pic001.jpeg", "View")</f>
        <v>View</v>
      </c>
      <c r="F24" s="3" t="s">
        <v>20</v>
      </c>
      <c r="G24" s="3" t="s">
        <v>21</v>
      </c>
      <c r="H24" s="3">
        <v>1103716</v>
      </c>
      <c r="I24" s="3" t="str">
        <f>HYPERLINK("https://www.inaturalist.org/taxa/496170-Acalitus-ferrugineum", "View")</f>
        <v>View</v>
      </c>
      <c r="J24" s="3" t="s">
        <v>31</v>
      </c>
      <c r="K24" s="3" t="s">
        <v>32</v>
      </c>
      <c r="L24" s="3">
        <v>496170</v>
      </c>
      <c r="M24" s="3">
        <v>4.95</v>
      </c>
      <c r="N24" s="3">
        <v>72.819999999999993</v>
      </c>
      <c r="P24" s="3">
        <v>0</v>
      </c>
      <c r="R24" s="3" t="s">
        <v>47</v>
      </c>
      <c r="S24" s="3" t="s">
        <v>25</v>
      </c>
      <c r="T24" s="3" t="s">
        <v>25</v>
      </c>
      <c r="U24" s="3" t="s">
        <v>48</v>
      </c>
    </row>
    <row r="25" spans="1:21" x14ac:dyDescent="0.3">
      <c r="A25">
        <v>24</v>
      </c>
      <c r="B25" t="str">
        <f>HYPERLINK("https://imapinvasives.natureserve.org/imap/services/page/Presence/1409352.html", "View")</f>
        <v>View</v>
      </c>
      <c r="C25">
        <v>1409352</v>
      </c>
      <c r="D25">
        <v>1421755</v>
      </c>
      <c r="E25" t="str">
        <f>HYPERLINK("http://imap3images.s3-website-us-east-1.amazonaws.com/1421755/p/BLD_SC_Cherry_Ridge_Wild_Forest_May24_4.jpg", "View")</f>
        <v>View</v>
      </c>
      <c r="F25" t="s">
        <v>20</v>
      </c>
      <c r="G25" t="s">
        <v>21</v>
      </c>
      <c r="H25">
        <v>1103716</v>
      </c>
      <c r="I25" t="str">
        <f>HYPERLINK("https://www.inaturalist.org/taxa/1103716-Litylenchus-crenatae", "View")</f>
        <v>View</v>
      </c>
      <c r="J25" t="s">
        <v>22</v>
      </c>
      <c r="K25" t="s">
        <v>23</v>
      </c>
      <c r="L25">
        <v>1103716</v>
      </c>
      <c r="M25">
        <v>10.41</v>
      </c>
      <c r="N25">
        <v>89.25</v>
      </c>
      <c r="P25">
        <v>1</v>
      </c>
      <c r="R25" t="s">
        <v>24</v>
      </c>
      <c r="S25" t="s">
        <v>25</v>
      </c>
      <c r="T25" t="s">
        <v>25</v>
      </c>
    </row>
    <row r="26" spans="1:21" x14ac:dyDescent="0.3">
      <c r="A26">
        <v>25</v>
      </c>
      <c r="B26" t="str">
        <f>HYPERLINK("https://imapinvasives.natureserve.org/imap/services/page/Presence/1395813.html", "View")</f>
        <v>View</v>
      </c>
      <c r="C26">
        <v>1395813</v>
      </c>
      <c r="D26">
        <v>1414266</v>
      </c>
      <c r="E26" t="str">
        <f>HYPERLINK("http://imap3images.s3-website-us-east-1.amazonaws.com/1414266/p/imap_app_photo_1715293326062.jpg", "View")</f>
        <v>View</v>
      </c>
      <c r="F26" t="s">
        <v>20</v>
      </c>
      <c r="G26" t="s">
        <v>21</v>
      </c>
      <c r="H26">
        <v>1103716</v>
      </c>
      <c r="I26" t="str">
        <f>HYPERLINK("https://www.inaturalist.org/taxa/1103716-Litylenchus-crenatae", "View")</f>
        <v>View</v>
      </c>
      <c r="J26" t="s">
        <v>22</v>
      </c>
      <c r="K26" t="s">
        <v>23</v>
      </c>
      <c r="L26">
        <v>1103716</v>
      </c>
      <c r="M26">
        <v>21.77</v>
      </c>
      <c r="N26">
        <v>96.89</v>
      </c>
      <c r="P26">
        <v>1</v>
      </c>
      <c r="R26" t="s">
        <v>24</v>
      </c>
      <c r="S26" t="s">
        <v>25</v>
      </c>
      <c r="T26" t="s">
        <v>25</v>
      </c>
    </row>
    <row r="27" spans="1:21" x14ac:dyDescent="0.3">
      <c r="A27">
        <v>26</v>
      </c>
      <c r="B27" t="str">
        <f>HYPERLINK("https://imapinvasives.natureserve.org/imap/services/page/Presence/1352792.html", "View")</f>
        <v>View</v>
      </c>
      <c r="C27">
        <v>1352792</v>
      </c>
      <c r="D27">
        <v>1370181</v>
      </c>
      <c r="E27" t="str">
        <f>HYPERLINK("http://imap3images.s3-website-us-east-1.amazonaws.com/1370181/p/imap_app_photo_1694309193373.jpg", "View")</f>
        <v>View</v>
      </c>
      <c r="F27" t="s">
        <v>20</v>
      </c>
      <c r="G27" t="s">
        <v>21</v>
      </c>
      <c r="H27">
        <v>1103716</v>
      </c>
      <c r="I27" t="str">
        <f>HYPERLINK("https://www.inaturalist.org/taxa/49202-Fagus-grandifolia", "View")</f>
        <v>View</v>
      </c>
      <c r="J27" t="s">
        <v>26</v>
      </c>
      <c r="K27" t="s">
        <v>27</v>
      </c>
      <c r="L27">
        <v>49202</v>
      </c>
      <c r="M27">
        <v>71.569999999999993</v>
      </c>
      <c r="N27">
        <v>89.28</v>
      </c>
      <c r="P27">
        <v>0</v>
      </c>
      <c r="R27" t="s">
        <v>33</v>
      </c>
      <c r="S27" t="s">
        <v>34</v>
      </c>
      <c r="T27" t="s">
        <v>34</v>
      </c>
    </row>
    <row r="28" spans="1:21" x14ac:dyDescent="0.3">
      <c r="A28">
        <v>27</v>
      </c>
      <c r="B28" t="str">
        <f>HYPERLINK("https://imapinvasives.natureserve.org/imap/services/page/Presence/1345402.html", "View")</f>
        <v>View</v>
      </c>
      <c r="C28">
        <v>1345402</v>
      </c>
      <c r="D28">
        <v>1361612</v>
      </c>
      <c r="E28" t="str">
        <f>HYPERLINK("http://imap3images.s3-website-us-east-1.amazonaws.com/1361612/p/imap_app_photo_1691434735996.jpg", "View")</f>
        <v>View</v>
      </c>
      <c r="F28" t="s">
        <v>20</v>
      </c>
      <c r="G28" t="s">
        <v>21</v>
      </c>
      <c r="H28">
        <v>1103716</v>
      </c>
      <c r="I28" t="str">
        <f>HYPERLINK("https://www.inaturalist.org/taxa/1103716-Litylenchus-crenatae", "View")</f>
        <v>View</v>
      </c>
      <c r="J28" t="s">
        <v>22</v>
      </c>
      <c r="K28" t="s">
        <v>23</v>
      </c>
      <c r="L28">
        <v>1103716</v>
      </c>
      <c r="M28">
        <v>8.06</v>
      </c>
      <c r="N28">
        <v>30.09</v>
      </c>
      <c r="P28">
        <v>1</v>
      </c>
      <c r="R28" t="s">
        <v>24</v>
      </c>
      <c r="S28" t="s">
        <v>25</v>
      </c>
      <c r="T28" t="s">
        <v>25</v>
      </c>
    </row>
    <row r="29" spans="1:21" x14ac:dyDescent="0.3">
      <c r="A29">
        <v>28</v>
      </c>
      <c r="B29" t="str">
        <f>HYPERLINK("https://imapinvasives.natureserve.org/imap/services/page/Presence/1061795.html", "View")</f>
        <v>View</v>
      </c>
      <c r="C29">
        <v>1061795</v>
      </c>
      <c r="D29">
        <v>1066337</v>
      </c>
      <c r="E29" t="str">
        <f>HYPERLINK("http://imap3images.s3-website-us-east-1.amazonaws.com/1066337/p/imap_app_photo_1596635573363.jpg", "View")</f>
        <v>View</v>
      </c>
      <c r="F29" t="s">
        <v>20</v>
      </c>
      <c r="G29" t="s">
        <v>21</v>
      </c>
      <c r="H29">
        <v>1103716</v>
      </c>
      <c r="I29" t="str">
        <f>HYPERLINK("https://www.inaturalist.org/taxa/1103716-Litylenchus-crenatae", "View")</f>
        <v>View</v>
      </c>
      <c r="J29" t="s">
        <v>22</v>
      </c>
      <c r="K29" t="s">
        <v>23</v>
      </c>
      <c r="L29">
        <v>1103716</v>
      </c>
      <c r="M29">
        <v>10.29</v>
      </c>
      <c r="N29">
        <v>37.630000000000003</v>
      </c>
      <c r="P29">
        <v>1</v>
      </c>
      <c r="R29" t="s">
        <v>24</v>
      </c>
      <c r="S29" t="s">
        <v>25</v>
      </c>
      <c r="T29" t="s">
        <v>25</v>
      </c>
    </row>
    <row r="30" spans="1:21" x14ac:dyDescent="0.3">
      <c r="A30">
        <v>29</v>
      </c>
      <c r="B30" t="str">
        <f>HYPERLINK("https://imapinvasives.natureserve.org/imap/services/page/Presence/1152316.html", "View")</f>
        <v>View</v>
      </c>
      <c r="C30">
        <v>1152316</v>
      </c>
      <c r="D30">
        <v>1159238</v>
      </c>
      <c r="E30" t="str">
        <f>HYPERLINK("http://imap3images.s3-website-us-east-1.amazonaws.com/1159238/p/imap_app_photo_1627011573062.jpg", "View")</f>
        <v>View</v>
      </c>
      <c r="F30" t="s">
        <v>20</v>
      </c>
      <c r="G30" t="s">
        <v>21</v>
      </c>
      <c r="H30">
        <v>1103716</v>
      </c>
      <c r="I30" t="str">
        <f>HYPERLINK("https://www.inaturalist.org/taxa/1103716-Litylenchus-crenatae", "View")</f>
        <v>View</v>
      </c>
      <c r="J30" t="s">
        <v>22</v>
      </c>
      <c r="K30" t="s">
        <v>23</v>
      </c>
      <c r="L30">
        <v>1103716</v>
      </c>
      <c r="M30">
        <v>8.06</v>
      </c>
      <c r="N30">
        <v>91.57</v>
      </c>
      <c r="P30">
        <v>1</v>
      </c>
      <c r="R30" t="s">
        <v>24</v>
      </c>
      <c r="S30" t="s">
        <v>25</v>
      </c>
      <c r="T30" t="s">
        <v>25</v>
      </c>
    </row>
    <row r="31" spans="1:21" s="3" customFormat="1" x14ac:dyDescent="0.3">
      <c r="A31" s="3">
        <v>30</v>
      </c>
      <c r="B31" s="3" t="str">
        <f>HYPERLINK("https://imapinvasives.natureserve.org/imap/services/page/Presence/1152317.html", "View")</f>
        <v>View</v>
      </c>
      <c r="C31" s="3">
        <v>1152317</v>
      </c>
      <c r="D31" s="3">
        <v>1159239</v>
      </c>
      <c r="E31" s="3" t="str">
        <f>HYPERLINK("http://imap3images.s3-website-us-east-1.amazonaws.com/1159239/p/imap_app_photo_1627011577895.jpg", "View")</f>
        <v>View</v>
      </c>
      <c r="F31" s="3" t="s">
        <v>20</v>
      </c>
      <c r="G31" s="3" t="s">
        <v>21</v>
      </c>
      <c r="H31" s="3">
        <v>1103716</v>
      </c>
      <c r="I31" s="3" t="str">
        <f>HYPERLINK("https://www.inaturalist.org/taxa/49202-Fagus-grandifolia", "View")</f>
        <v>View</v>
      </c>
      <c r="J31" s="3" t="s">
        <v>26</v>
      </c>
      <c r="K31" s="3" t="s">
        <v>27</v>
      </c>
      <c r="L31" s="3">
        <v>49202</v>
      </c>
      <c r="M31" s="3">
        <v>34.9</v>
      </c>
      <c r="N31" s="3">
        <v>59.35</v>
      </c>
      <c r="P31" s="3">
        <v>0</v>
      </c>
      <c r="R31" s="3" t="s">
        <v>28</v>
      </c>
      <c r="S31" s="3" t="s">
        <v>25</v>
      </c>
      <c r="T31" s="3" t="s">
        <v>25</v>
      </c>
    </row>
    <row r="32" spans="1:21" x14ac:dyDescent="0.3">
      <c r="A32">
        <v>31</v>
      </c>
      <c r="B32" t="str">
        <f>HYPERLINK("https://imapinvasives.natureserve.org/imap/services/page/Presence/1439781.html", "View")</f>
        <v>View</v>
      </c>
      <c r="C32">
        <v>1439781</v>
      </c>
      <c r="D32">
        <v>1454215</v>
      </c>
      <c r="E32" t="str">
        <f>HYPERLINK("http://imap3images.s3-website-us-east-1.amazonaws.com/1454215/p/imap_app_photo_1723503776867.jpg", "View")</f>
        <v>View</v>
      </c>
      <c r="F32" t="s">
        <v>20</v>
      </c>
      <c r="G32" t="s">
        <v>21</v>
      </c>
      <c r="H32">
        <v>1103716</v>
      </c>
      <c r="I32" t="str">
        <f>HYPERLINK("https://www.inaturalist.org/taxa/1103716-Litylenchus-crenatae", "View")</f>
        <v>View</v>
      </c>
      <c r="J32" t="s">
        <v>22</v>
      </c>
      <c r="K32" t="s">
        <v>23</v>
      </c>
      <c r="L32">
        <v>1103716</v>
      </c>
      <c r="M32">
        <v>20.66</v>
      </c>
      <c r="N32">
        <v>99.33</v>
      </c>
      <c r="P32">
        <v>1</v>
      </c>
      <c r="R32" t="s">
        <v>24</v>
      </c>
      <c r="S32" t="s">
        <v>25</v>
      </c>
      <c r="T32" t="s">
        <v>25</v>
      </c>
    </row>
    <row r="33" spans="1:21" x14ac:dyDescent="0.3">
      <c r="A33">
        <v>32</v>
      </c>
      <c r="B33" t="str">
        <f>HYPERLINK("https://imapinvasives.natureserve.org/imap/services/page/Presence/1442920.html", "View")</f>
        <v>View</v>
      </c>
      <c r="C33">
        <v>1442920</v>
      </c>
      <c r="D33">
        <v>1457538</v>
      </c>
      <c r="E33" t="str">
        <f>HYPERLINK("http://imap3images.s3-website-us-east-1.amazonaws.com/1457538/p/imap_app_photo_1724869174538.jpg", "View")</f>
        <v>View</v>
      </c>
      <c r="F33" t="s">
        <v>20</v>
      </c>
      <c r="G33" t="s">
        <v>21</v>
      </c>
      <c r="H33">
        <v>1103716</v>
      </c>
      <c r="I33" t="str">
        <f>HYPERLINK("https://www.inaturalist.org/taxa/1103716-Litylenchus-crenatae", "View")</f>
        <v>View</v>
      </c>
      <c r="J33" t="s">
        <v>22</v>
      </c>
      <c r="K33" t="s">
        <v>23</v>
      </c>
      <c r="L33">
        <v>1103716</v>
      </c>
      <c r="M33">
        <v>20.66</v>
      </c>
      <c r="N33">
        <v>99.62</v>
      </c>
      <c r="P33">
        <v>1</v>
      </c>
      <c r="R33" t="s">
        <v>24</v>
      </c>
      <c r="S33" t="s">
        <v>25</v>
      </c>
      <c r="T33" t="s">
        <v>25</v>
      </c>
    </row>
    <row r="34" spans="1:21" s="3" customFormat="1" x14ac:dyDescent="0.3">
      <c r="A34" s="3">
        <v>33</v>
      </c>
      <c r="B34" s="3" t="str">
        <f>HYPERLINK("https://imapinvasives.natureserve.org/imap/services/page/Presence/1354215.html", "View")</f>
        <v>View</v>
      </c>
      <c r="C34" s="3">
        <v>1354215</v>
      </c>
      <c r="D34" s="3">
        <v>1371661</v>
      </c>
      <c r="E34" s="3" t="str">
        <f>HYPERLINK("http://imap3images.s3-website-us-east-1.amazonaws.com/1371661/p/imap_app_photo_1695155613917.jpg", "View")</f>
        <v>View</v>
      </c>
      <c r="F34" s="3" t="s">
        <v>20</v>
      </c>
      <c r="G34" s="3" t="s">
        <v>21</v>
      </c>
      <c r="H34" s="3">
        <v>1103716</v>
      </c>
      <c r="I34" s="3" t="str">
        <f>HYPERLINK("https://www.inaturalist.org/taxa/49202-Fagus-grandifolia", "View")</f>
        <v>View</v>
      </c>
      <c r="J34" s="3" t="s">
        <v>26</v>
      </c>
      <c r="K34" s="3" t="s">
        <v>27</v>
      </c>
      <c r="L34" s="3">
        <v>49202</v>
      </c>
      <c r="M34" s="3">
        <v>34.39</v>
      </c>
      <c r="N34" s="3">
        <v>53.48</v>
      </c>
      <c r="P34" s="3">
        <v>0</v>
      </c>
      <c r="R34" s="3" t="s">
        <v>33</v>
      </c>
      <c r="S34" s="3" t="s">
        <v>49</v>
      </c>
      <c r="T34" s="3" t="s">
        <v>49</v>
      </c>
      <c r="U34" s="3" t="s">
        <v>50</v>
      </c>
    </row>
    <row r="35" spans="1:21" x14ac:dyDescent="0.3">
      <c r="A35">
        <v>34</v>
      </c>
      <c r="B35" t="str">
        <f>HYPERLINK("https://imapinvasives.natureserve.org/imap/services/page/Presence/1354334.html", "View")</f>
        <v>View</v>
      </c>
      <c r="C35">
        <v>1354334</v>
      </c>
      <c r="D35">
        <v>1371780</v>
      </c>
      <c r="E35" t="str">
        <f>HYPERLINK("http://imap3images.s3-website-us-east-1.amazonaws.com/1371780/p/imap_app_photo_1695239553800.jpg", "View")</f>
        <v>View</v>
      </c>
      <c r="F35" t="s">
        <v>20</v>
      </c>
      <c r="G35" t="s">
        <v>21</v>
      </c>
      <c r="H35">
        <v>1103716</v>
      </c>
      <c r="I35" t="str">
        <f>HYPERLINK("https://www.inaturalist.org/taxa/1103716-Litylenchus-crenatae", "View")</f>
        <v>View</v>
      </c>
      <c r="J35" t="s">
        <v>22</v>
      </c>
      <c r="K35" t="s">
        <v>23</v>
      </c>
      <c r="L35">
        <v>1103716</v>
      </c>
      <c r="M35">
        <v>3.78</v>
      </c>
      <c r="N35">
        <v>61.55</v>
      </c>
      <c r="P35">
        <v>1</v>
      </c>
      <c r="R35" t="s">
        <v>24</v>
      </c>
      <c r="S35" t="s">
        <v>25</v>
      </c>
      <c r="T35" t="s">
        <v>25</v>
      </c>
    </row>
    <row r="36" spans="1:21" x14ac:dyDescent="0.3">
      <c r="A36">
        <v>35</v>
      </c>
      <c r="B36" t="str">
        <f>HYPERLINK("https://imapinvasives.natureserve.org/imap/services/page/Presence/1438512.html", "View")</f>
        <v>View</v>
      </c>
      <c r="C36">
        <v>1438512</v>
      </c>
      <c r="D36">
        <v>1452770</v>
      </c>
      <c r="E36" t="str">
        <f>HYPERLINK("http://imap3images.s3-website-us-east-1.amazonaws.com/1452770/p/imap_app_photo_1722531458929.jpg", "View")</f>
        <v>View</v>
      </c>
      <c r="F36" t="s">
        <v>20</v>
      </c>
      <c r="G36" t="s">
        <v>21</v>
      </c>
      <c r="H36">
        <v>1103716</v>
      </c>
      <c r="I36" t="str">
        <f>HYPERLINK("https://www.inaturalist.org/taxa/1103716-Litylenchus-crenatae", "View")</f>
        <v>View</v>
      </c>
      <c r="J36" t="s">
        <v>22</v>
      </c>
      <c r="K36" t="s">
        <v>23</v>
      </c>
      <c r="L36">
        <v>1103716</v>
      </c>
      <c r="M36">
        <v>46.52</v>
      </c>
      <c r="N36">
        <v>92.69</v>
      </c>
      <c r="P36">
        <v>1</v>
      </c>
      <c r="R36" t="s">
        <v>24</v>
      </c>
      <c r="S36" t="s">
        <v>25</v>
      </c>
      <c r="T36" t="s">
        <v>25</v>
      </c>
    </row>
    <row r="37" spans="1:21" x14ac:dyDescent="0.3">
      <c r="A37">
        <v>36</v>
      </c>
      <c r="B37" t="str">
        <f>HYPERLINK("https://imapinvasives.natureserve.org/imap/services/page/Presence/1410430.html", "View")</f>
        <v>View</v>
      </c>
      <c r="C37">
        <v>1410430</v>
      </c>
      <c r="D37">
        <v>1422882</v>
      </c>
      <c r="E37" t="str">
        <f>HYPERLINK("http://imap3images.s3-website-us-east-1.amazonaws.com/1422882/p/IMG_7577.jpg", "View")</f>
        <v>View</v>
      </c>
      <c r="F37" t="s">
        <v>20</v>
      </c>
      <c r="G37" t="s">
        <v>21</v>
      </c>
      <c r="H37">
        <v>1103716</v>
      </c>
      <c r="I37" t="str">
        <f>HYPERLINK("https://www.inaturalist.org/taxa/1103716-Litylenchus-crenatae", "View")</f>
        <v>View</v>
      </c>
      <c r="J37" t="s">
        <v>22</v>
      </c>
      <c r="K37" t="s">
        <v>23</v>
      </c>
      <c r="L37">
        <v>1103716</v>
      </c>
      <c r="M37">
        <v>46.52</v>
      </c>
      <c r="N37">
        <v>66.11</v>
      </c>
      <c r="P37">
        <v>1</v>
      </c>
      <c r="R37" t="s">
        <v>24</v>
      </c>
      <c r="S37" t="s">
        <v>25</v>
      </c>
      <c r="T37" t="s">
        <v>25</v>
      </c>
    </row>
    <row r="38" spans="1:21" x14ac:dyDescent="0.3">
      <c r="A38">
        <v>37</v>
      </c>
      <c r="B38" t="str">
        <f>HYPERLINK("https://imapinvasives.natureserve.org/imap/services/page/Presence/1273779.html", "View")</f>
        <v>View</v>
      </c>
      <c r="C38">
        <v>1273779</v>
      </c>
      <c r="D38">
        <v>1282980</v>
      </c>
      <c r="E38" t="str">
        <f>HYPERLINK("http://imap3images.s3-website-us-east-1.amazonaws.com/1282980/p/imap_app_photo_1654780533531.jpg", "View")</f>
        <v>View</v>
      </c>
      <c r="F38" t="s">
        <v>20</v>
      </c>
      <c r="G38" t="s">
        <v>21</v>
      </c>
      <c r="H38">
        <v>1103716</v>
      </c>
      <c r="I38" t="str">
        <f>HYPERLINK("https://www.inaturalist.org/taxa/1103716-Litylenchus-crenatae", "View")</f>
        <v>View</v>
      </c>
      <c r="J38" t="s">
        <v>22</v>
      </c>
      <c r="K38" t="s">
        <v>23</v>
      </c>
      <c r="L38">
        <v>1103716</v>
      </c>
      <c r="M38">
        <v>7.7</v>
      </c>
      <c r="N38">
        <v>67.61</v>
      </c>
      <c r="P38">
        <v>1</v>
      </c>
      <c r="R38" t="s">
        <v>24</v>
      </c>
      <c r="S38" t="s">
        <v>25</v>
      </c>
      <c r="T38" t="s">
        <v>25</v>
      </c>
    </row>
    <row r="39" spans="1:21" x14ac:dyDescent="0.3">
      <c r="A39">
        <v>38</v>
      </c>
      <c r="B39" t="str">
        <f>HYPERLINK("https://imapinvasives.natureserve.org/imap/services/page/Presence/1273778.html", "View")</f>
        <v>View</v>
      </c>
      <c r="C39">
        <v>1273778</v>
      </c>
      <c r="D39">
        <v>1282979</v>
      </c>
      <c r="E39" t="str">
        <f>HYPERLINK("http://imap3images.s3-website-us-east-1.amazonaws.com/1282979/p/imap_app_photo_1654780526508.jpg", "View")</f>
        <v>View</v>
      </c>
      <c r="F39" t="s">
        <v>20</v>
      </c>
      <c r="G39" t="s">
        <v>21</v>
      </c>
      <c r="H39">
        <v>1103716</v>
      </c>
      <c r="I39" t="str">
        <f>HYPERLINK("https://www.inaturalist.org/taxa/1103716-Litylenchus-crenatae", "View")</f>
        <v>View</v>
      </c>
      <c r="J39" t="s">
        <v>22</v>
      </c>
      <c r="K39" t="s">
        <v>23</v>
      </c>
      <c r="L39">
        <v>1103716</v>
      </c>
      <c r="M39">
        <v>7.7</v>
      </c>
      <c r="N39">
        <v>83.99</v>
      </c>
      <c r="P39">
        <v>1</v>
      </c>
      <c r="R39" t="s">
        <v>24</v>
      </c>
      <c r="S39" t="s">
        <v>25</v>
      </c>
      <c r="T39" t="s">
        <v>25</v>
      </c>
    </row>
    <row r="40" spans="1:21" s="3" customFormat="1" x14ac:dyDescent="0.3">
      <c r="A40" s="3">
        <v>39</v>
      </c>
      <c r="B40" s="3" t="str">
        <f>HYPERLINK("https://imapinvasives.natureserve.org/imap/services/page/Presence/1363766.html", "View")</f>
        <v>View</v>
      </c>
      <c r="C40" s="3">
        <v>1363766</v>
      </c>
      <c r="D40" s="3">
        <v>1381679</v>
      </c>
      <c r="E40" s="3" t="str">
        <f>HYPERLINK("http://imap3images.s3-website-us-east-1.amazonaws.com/1381679/p/imap_app_photo_1700522463892.jpg", "View")</f>
        <v>View</v>
      </c>
      <c r="F40" s="3" t="s">
        <v>20</v>
      </c>
      <c r="G40" s="3" t="s">
        <v>21</v>
      </c>
      <c r="H40" s="3">
        <v>1103716</v>
      </c>
      <c r="I40" s="3" t="str">
        <f>HYPERLINK("https://www.inaturalist.org/taxa/117426-Magnolia-acuminata", "View")</f>
        <v>View</v>
      </c>
      <c r="J40" s="3" t="s">
        <v>35</v>
      </c>
      <c r="K40" s="3" t="s">
        <v>36</v>
      </c>
      <c r="L40" s="3">
        <v>117426</v>
      </c>
      <c r="M40" s="3">
        <v>11.83</v>
      </c>
      <c r="N40" s="3">
        <v>78.75</v>
      </c>
      <c r="P40" s="3">
        <v>0</v>
      </c>
      <c r="R40" s="3" t="s">
        <v>33</v>
      </c>
      <c r="S40" s="3" t="s">
        <v>25</v>
      </c>
      <c r="T40" s="3" t="s">
        <v>25</v>
      </c>
    </row>
    <row r="41" spans="1:21" x14ac:dyDescent="0.3">
      <c r="A41">
        <v>40</v>
      </c>
      <c r="B41" t="str">
        <f>HYPERLINK("https://imapinvasives.natureserve.org/imap/services/page/Presence/1152120.html", "View")</f>
        <v>View</v>
      </c>
      <c r="C41">
        <v>1152120</v>
      </c>
      <c r="D41">
        <v>1159038</v>
      </c>
      <c r="E41" t="str">
        <f>HYPERLINK("http://imap3images.s3-website-us-east-1.amazonaws.com/1159038/p/imap_app_photo_1626902718287.jpg", "View")</f>
        <v>View</v>
      </c>
      <c r="F41" t="s">
        <v>20</v>
      </c>
      <c r="G41" t="s">
        <v>21</v>
      </c>
      <c r="H41">
        <v>1103716</v>
      </c>
      <c r="I41" t="str">
        <f>HYPERLINK("https://www.inaturalist.org/taxa/1103716-Litylenchus-crenatae", "View")</f>
        <v>View</v>
      </c>
      <c r="J41" t="s">
        <v>22</v>
      </c>
      <c r="K41" t="s">
        <v>23</v>
      </c>
      <c r="L41">
        <v>1103716</v>
      </c>
      <c r="M41">
        <v>45.38</v>
      </c>
      <c r="N41">
        <v>93.56</v>
      </c>
      <c r="P41">
        <v>1</v>
      </c>
      <c r="R41" t="s">
        <v>24</v>
      </c>
      <c r="S41" t="s">
        <v>25</v>
      </c>
      <c r="T41" t="s">
        <v>25</v>
      </c>
    </row>
    <row r="42" spans="1:21" s="3" customFormat="1" x14ac:dyDescent="0.3">
      <c r="A42" s="3">
        <v>41</v>
      </c>
      <c r="B42" s="3" t="str">
        <f>HYPERLINK("https://imapinvasives.natureserve.org/imap/services/page/Presence/1153430.html", "View")</f>
        <v>View</v>
      </c>
      <c r="C42" s="3">
        <v>1153430</v>
      </c>
      <c r="D42" s="3">
        <v>1160404</v>
      </c>
      <c r="E42" s="3" t="str">
        <f>HYPERLINK("http://imap3images.s3-website-us-east-1.amazonaws.com/1160404/p/imap_app_photo_1627739971477.jpg", "View")</f>
        <v>View</v>
      </c>
      <c r="F42" s="3" t="s">
        <v>20</v>
      </c>
      <c r="G42" s="3" t="s">
        <v>21</v>
      </c>
      <c r="H42" s="3">
        <v>1103716</v>
      </c>
      <c r="I42" s="3" t="str">
        <f>HYPERLINK("https://www.inaturalist.org/taxa/54802-Nyssa-sylvatica", "View")</f>
        <v>View</v>
      </c>
      <c r="J42" s="3" t="s">
        <v>37</v>
      </c>
      <c r="K42" s="3" t="s">
        <v>38</v>
      </c>
      <c r="L42" s="3">
        <v>54802</v>
      </c>
      <c r="M42" s="3">
        <v>61.19</v>
      </c>
      <c r="N42" s="3">
        <v>71.56</v>
      </c>
      <c r="P42" s="3">
        <v>0</v>
      </c>
      <c r="R42" s="3" t="s">
        <v>33</v>
      </c>
      <c r="S42" s="3" t="s">
        <v>51</v>
      </c>
      <c r="T42" s="3" t="s">
        <v>51</v>
      </c>
      <c r="U42" s="3" t="s">
        <v>52</v>
      </c>
    </row>
    <row r="43" spans="1:21" x14ac:dyDescent="0.3">
      <c r="A43">
        <v>42</v>
      </c>
      <c r="B43" t="str">
        <f>HYPERLINK("https://imapinvasives.natureserve.org/imap/services/page/Presence/1407866.html", "View")</f>
        <v>View</v>
      </c>
      <c r="C43">
        <v>1407866</v>
      </c>
      <c r="D43">
        <v>1420256</v>
      </c>
      <c r="E43" t="str">
        <f>HYPERLINK("http://imap3images.s3-website-us-east-1.amazonaws.com/1420256/p/imap_app_photo_1715978460926.jpg", "View")</f>
        <v>View</v>
      </c>
      <c r="F43" t="s">
        <v>20</v>
      </c>
      <c r="G43" t="s">
        <v>21</v>
      </c>
      <c r="H43">
        <v>1103716</v>
      </c>
      <c r="I43" t="str">
        <f>HYPERLINK("https://www.inaturalist.org/taxa/1103716-Litylenchus-crenatae", "View")</f>
        <v>View</v>
      </c>
      <c r="J43" t="s">
        <v>22</v>
      </c>
      <c r="K43" t="s">
        <v>23</v>
      </c>
      <c r="L43">
        <v>1103716</v>
      </c>
      <c r="M43">
        <v>45.38</v>
      </c>
      <c r="N43">
        <v>93.14</v>
      </c>
      <c r="P43">
        <v>1</v>
      </c>
      <c r="R43" t="s">
        <v>24</v>
      </c>
      <c r="S43" t="s">
        <v>25</v>
      </c>
      <c r="T43" t="s">
        <v>25</v>
      </c>
    </row>
    <row r="44" spans="1:21" x14ac:dyDescent="0.3">
      <c r="A44">
        <v>43</v>
      </c>
      <c r="B44" t="str">
        <f>HYPERLINK("https://imapinvasives.natureserve.org/imap/services/page/Presence/1283630.html", "View")</f>
        <v>View</v>
      </c>
      <c r="C44">
        <v>1283630</v>
      </c>
      <c r="D44">
        <v>1293143</v>
      </c>
      <c r="E44" t="str">
        <f>HYPERLINK("http://imap3images.s3-website-us-east-1.amazonaws.com/1293143/p/imap_app_photo_1658762431516.jpg", "View")</f>
        <v>View</v>
      </c>
      <c r="F44" t="s">
        <v>20</v>
      </c>
      <c r="G44" t="s">
        <v>21</v>
      </c>
      <c r="H44">
        <v>1103716</v>
      </c>
      <c r="I44" t="str">
        <f>HYPERLINK("https://www.inaturalist.org/taxa/1103716-Litylenchus-crenatae", "View")</f>
        <v>View</v>
      </c>
      <c r="J44" t="s">
        <v>22</v>
      </c>
      <c r="K44" t="s">
        <v>23</v>
      </c>
      <c r="L44">
        <v>1103716</v>
      </c>
      <c r="M44">
        <v>7.46</v>
      </c>
      <c r="N44">
        <v>67.97</v>
      </c>
      <c r="P44">
        <v>1</v>
      </c>
      <c r="R44" t="s">
        <v>24</v>
      </c>
      <c r="S44" s="3" t="s">
        <v>25</v>
      </c>
    </row>
    <row r="45" spans="1:21" s="3" customFormat="1" x14ac:dyDescent="0.3">
      <c r="A45" s="3">
        <v>44</v>
      </c>
      <c r="B45" s="3" t="str">
        <f>HYPERLINK("https://imapinvasives.natureserve.org/imap/services/page/Presence/1286652.html", "View")</f>
        <v>View</v>
      </c>
      <c r="C45" s="3">
        <v>1286652</v>
      </c>
      <c r="D45" s="3">
        <v>1296415</v>
      </c>
      <c r="E45" s="3" t="str">
        <f>HYPERLINK("http://imap3images.s3-website-us-east-1.amazonaws.com/1296415/p/imap_app_photo_1660392400994.jpg", "View")</f>
        <v>View</v>
      </c>
      <c r="F45" s="3" t="s">
        <v>20</v>
      </c>
      <c r="G45" s="3" t="s">
        <v>21</v>
      </c>
      <c r="H45" s="3">
        <v>1103716</v>
      </c>
      <c r="I45" s="3" t="str">
        <f>HYPERLINK("https://www.inaturalist.org/taxa/49202-Fagus-grandifolia", "View")</f>
        <v>View</v>
      </c>
      <c r="J45" s="3" t="s">
        <v>26</v>
      </c>
      <c r="K45" s="3" t="s">
        <v>27</v>
      </c>
      <c r="L45" s="3">
        <v>49202</v>
      </c>
      <c r="M45" s="3">
        <v>36.44</v>
      </c>
      <c r="N45" s="3">
        <v>48.48</v>
      </c>
      <c r="P45" s="3">
        <v>0</v>
      </c>
      <c r="R45" s="3" t="s">
        <v>33</v>
      </c>
      <c r="S45" s="3" t="s">
        <v>25</v>
      </c>
      <c r="T45" s="3" t="s">
        <v>25</v>
      </c>
    </row>
    <row r="46" spans="1:21" s="3" customFormat="1" x14ac:dyDescent="0.3">
      <c r="A46" s="3">
        <v>45</v>
      </c>
      <c r="B46" s="3" t="str">
        <f>HYPERLINK("https://imapinvasives.natureserve.org/imap/services/page/Presence/1442484.html", "View")</f>
        <v>View</v>
      </c>
      <c r="C46" s="3">
        <v>1442484</v>
      </c>
      <c r="D46" s="3">
        <v>1457059</v>
      </c>
      <c r="E46" s="3" t="str">
        <f>HYPERLINK("http://imap3images.s3-website-us-east-1.amazonaws.com/1457059/p/DSC01326.JPG", "View")</f>
        <v>View</v>
      </c>
      <c r="F46" s="3" t="s">
        <v>20</v>
      </c>
      <c r="G46" s="3" t="s">
        <v>21</v>
      </c>
      <c r="H46" s="3">
        <v>1103716</v>
      </c>
      <c r="I46" s="3" t="str">
        <f>HYPERLINK("https://www.inaturalist.org/taxa/49202-Fagus-grandifolia", "View")</f>
        <v>View</v>
      </c>
      <c r="J46" s="3" t="s">
        <v>26</v>
      </c>
      <c r="K46" s="3" t="s">
        <v>27</v>
      </c>
      <c r="L46" s="3">
        <v>49202</v>
      </c>
      <c r="M46" s="3">
        <v>33.85</v>
      </c>
      <c r="N46" s="3">
        <v>38.29</v>
      </c>
      <c r="P46" s="3">
        <v>0</v>
      </c>
      <c r="R46" s="3" t="s">
        <v>43</v>
      </c>
      <c r="S46" s="3" t="s">
        <v>34</v>
      </c>
      <c r="T46" s="3" t="s">
        <v>34</v>
      </c>
    </row>
    <row r="47" spans="1:21" x14ac:dyDescent="0.3">
      <c r="A47">
        <v>46</v>
      </c>
      <c r="B47" t="str">
        <f>HYPERLINK("https://imapinvasives.natureserve.org/imap/services/page/Presence/1409180.html", "View")</f>
        <v>View</v>
      </c>
      <c r="C47">
        <v>1409180</v>
      </c>
      <c r="D47">
        <v>1421583</v>
      </c>
      <c r="E47" t="str">
        <f>HYPERLINK("http://imap3images.s3-website-us-east-1.amazonaws.com/1421583/p/image0.jpeg", "View")</f>
        <v>View</v>
      </c>
      <c r="F47" t="s">
        <v>20</v>
      </c>
      <c r="G47" t="s">
        <v>21</v>
      </c>
      <c r="H47">
        <v>1103716</v>
      </c>
      <c r="I47" t="str">
        <f>HYPERLINK("https://www.inaturalist.org/taxa/1103716-Litylenchus-crenatae", "View")</f>
        <v>View</v>
      </c>
      <c r="J47" t="s">
        <v>22</v>
      </c>
      <c r="K47" t="s">
        <v>23</v>
      </c>
      <c r="L47">
        <v>1103716</v>
      </c>
      <c r="M47">
        <v>3.81</v>
      </c>
      <c r="N47">
        <v>80.930000000000007</v>
      </c>
      <c r="P47">
        <v>1</v>
      </c>
      <c r="R47" t="s">
        <v>24</v>
      </c>
      <c r="S47" t="s">
        <v>25</v>
      </c>
      <c r="T47" t="s">
        <v>25</v>
      </c>
    </row>
    <row r="48" spans="1:21" x14ac:dyDescent="0.3">
      <c r="A48">
        <v>47</v>
      </c>
      <c r="B48" t="str">
        <f>HYPERLINK("https://imapinvasives.natureserve.org/imap/services/page/Presence/1438601.html", "View")</f>
        <v>View</v>
      </c>
      <c r="C48">
        <v>1438601</v>
      </c>
      <c r="D48">
        <v>1452859</v>
      </c>
      <c r="E48" t="str">
        <f>HYPERLINK("http://imap3images.s3-website-us-east-1.amazonaws.com/1452859/p/20240727_141245.jpg", "View")</f>
        <v>View</v>
      </c>
      <c r="F48" t="s">
        <v>20</v>
      </c>
      <c r="G48" t="s">
        <v>21</v>
      </c>
      <c r="H48">
        <v>1103716</v>
      </c>
      <c r="I48" t="str">
        <f>HYPERLINK("https://www.inaturalist.org/taxa/1103716-Litylenchus-crenatae", "View")</f>
        <v>View</v>
      </c>
      <c r="J48" t="s">
        <v>22</v>
      </c>
      <c r="K48" t="s">
        <v>23</v>
      </c>
      <c r="L48">
        <v>1103716</v>
      </c>
      <c r="M48">
        <v>5.59</v>
      </c>
      <c r="N48">
        <v>89.05</v>
      </c>
      <c r="P48">
        <v>1</v>
      </c>
      <c r="R48" t="s">
        <v>24</v>
      </c>
      <c r="S48" t="s">
        <v>25</v>
      </c>
      <c r="T48" t="s">
        <v>25</v>
      </c>
    </row>
    <row r="49" spans="1:20" x14ac:dyDescent="0.3">
      <c r="A49">
        <v>48</v>
      </c>
      <c r="B49" t="str">
        <f>HYPERLINK("https://imapinvasives.natureserve.org/imap/services/page/Presence/1434371.html", "View")</f>
        <v>View</v>
      </c>
      <c r="C49">
        <v>1434371</v>
      </c>
      <c r="D49">
        <v>1448031</v>
      </c>
      <c r="E49" t="str">
        <f>HYPERLINK("http://imap3images.s3-website-us-east-1.amazonaws.com/1448031/p/imap_app_photo_1720807690983.jpg", "View")</f>
        <v>View</v>
      </c>
      <c r="F49" t="s">
        <v>20</v>
      </c>
      <c r="G49" t="s">
        <v>21</v>
      </c>
      <c r="H49">
        <v>1103716</v>
      </c>
      <c r="I49" t="str">
        <f>HYPERLINK("https://www.inaturalist.org/taxa/1103716-Litylenchus-crenatae", "View")</f>
        <v>View</v>
      </c>
      <c r="J49" t="s">
        <v>22</v>
      </c>
      <c r="K49" t="s">
        <v>23</v>
      </c>
      <c r="L49">
        <v>1103716</v>
      </c>
      <c r="M49">
        <v>5.94</v>
      </c>
      <c r="N49">
        <v>72.94</v>
      </c>
      <c r="P49">
        <v>1</v>
      </c>
      <c r="R49" t="s">
        <v>24</v>
      </c>
      <c r="S49" t="s">
        <v>25</v>
      </c>
      <c r="T49" t="s">
        <v>25</v>
      </c>
    </row>
    <row r="50" spans="1:20" x14ac:dyDescent="0.3">
      <c r="A50">
        <v>49</v>
      </c>
      <c r="B50" t="str">
        <f>HYPERLINK("https://imapinvasives.natureserve.org/imap/services/page/Presence/1438034.html", "View")</f>
        <v>View</v>
      </c>
      <c r="C50">
        <v>1438034</v>
      </c>
      <c r="D50">
        <v>1452276</v>
      </c>
      <c r="E50" t="str">
        <f>HYPERLINK("http://imap3images.s3-website-us-east-1.amazonaws.com/1452276/p/IMG_6363.JPG", "View")</f>
        <v>View</v>
      </c>
      <c r="F50" t="s">
        <v>20</v>
      </c>
      <c r="G50" t="s">
        <v>21</v>
      </c>
      <c r="H50">
        <v>1103716</v>
      </c>
      <c r="I50" t="str">
        <f>HYPERLINK("https://www.inaturalist.org/taxa/1103716-Litylenchus-crenatae", "View")</f>
        <v>View</v>
      </c>
      <c r="J50" t="s">
        <v>22</v>
      </c>
      <c r="K50" t="s">
        <v>23</v>
      </c>
      <c r="L50">
        <v>1103716</v>
      </c>
      <c r="M50">
        <v>6.71</v>
      </c>
      <c r="N50">
        <v>94.65</v>
      </c>
      <c r="P50">
        <v>1</v>
      </c>
      <c r="R50" t="s">
        <v>24</v>
      </c>
      <c r="S50" t="s">
        <v>25</v>
      </c>
      <c r="T50" t="s">
        <v>25</v>
      </c>
    </row>
    <row r="51" spans="1:20" x14ac:dyDescent="0.3">
      <c r="A51">
        <v>50</v>
      </c>
      <c r="B51" t="str">
        <f>HYPERLINK("https://imapinvasives.natureserve.org/imap/services/page/Presence/1355626.html", "View")</f>
        <v>View</v>
      </c>
      <c r="C51">
        <v>1355626</v>
      </c>
      <c r="D51">
        <v>1373259</v>
      </c>
      <c r="E51" t="str">
        <f>HYPERLINK("http://imap3images.s3-website-us-east-1.amazonaws.com/1373259/p/imap_app_photo_1696554342716.jpg", "View")</f>
        <v>View</v>
      </c>
      <c r="F51" t="s">
        <v>20</v>
      </c>
      <c r="G51" t="s">
        <v>21</v>
      </c>
      <c r="H51">
        <v>1103716</v>
      </c>
      <c r="I51" t="str">
        <f>HYPERLINK("https://www.inaturalist.org/taxa/1103716-Litylenchus-crenatae", "View")</f>
        <v>View</v>
      </c>
      <c r="J51" t="s">
        <v>22</v>
      </c>
      <c r="K51" t="s">
        <v>23</v>
      </c>
      <c r="L51">
        <v>1103716</v>
      </c>
      <c r="M51">
        <v>37.090000000000003</v>
      </c>
      <c r="N51">
        <v>97.74</v>
      </c>
      <c r="P51">
        <v>1</v>
      </c>
      <c r="R51" t="s">
        <v>24</v>
      </c>
      <c r="S51" t="s">
        <v>25</v>
      </c>
      <c r="T51" t="s">
        <v>25</v>
      </c>
    </row>
    <row r="52" spans="1:20" s="3" customFormat="1" x14ac:dyDescent="0.3">
      <c r="A52" s="3">
        <v>51</v>
      </c>
      <c r="B52" s="3" t="str">
        <f>HYPERLINK("https://imapinvasives.natureserve.org/imap/services/page/Presence/1275384.html", "View")</f>
        <v>View</v>
      </c>
      <c r="C52" s="3">
        <v>1275384</v>
      </c>
      <c r="D52" s="3">
        <v>1284725</v>
      </c>
      <c r="E52" s="3" t="str">
        <f>HYPERLINK("http://imap3images.s3-website-us-east-1.amazonaws.com/1284725/p/imap_app_photo_1655573260929.jpg", "View")</f>
        <v>View</v>
      </c>
      <c r="F52" s="3" t="s">
        <v>20</v>
      </c>
      <c r="G52" s="3" t="s">
        <v>21</v>
      </c>
      <c r="H52" s="3">
        <v>1103716</v>
      </c>
      <c r="I52" s="3" t="str">
        <f>HYPERLINK("https://www.inaturalist.org/taxa/54768-Carpinus-caroliniana", "View")</f>
        <v>View</v>
      </c>
      <c r="J52" s="3" t="s">
        <v>39</v>
      </c>
      <c r="K52" s="3" t="s">
        <v>40</v>
      </c>
      <c r="L52" s="3">
        <v>54768</v>
      </c>
      <c r="M52" s="3">
        <v>42.18</v>
      </c>
      <c r="N52" s="3">
        <v>43.3</v>
      </c>
      <c r="P52" s="3">
        <v>0</v>
      </c>
      <c r="R52" s="3" t="s">
        <v>33</v>
      </c>
      <c r="S52" s="3" t="s">
        <v>34</v>
      </c>
      <c r="T52" s="3" t="s">
        <v>34</v>
      </c>
    </row>
    <row r="53" spans="1:20" x14ac:dyDescent="0.3">
      <c r="A53">
        <v>52</v>
      </c>
      <c r="B53" t="str">
        <f>HYPERLINK("https://imapinvasives.natureserve.org/imap/services/page/Presence/1341188.html", "View")</f>
        <v>View</v>
      </c>
      <c r="C53">
        <v>1341188</v>
      </c>
      <c r="D53">
        <v>1356407</v>
      </c>
      <c r="E53" t="str">
        <f>HYPERLINK("http://imap3images.s3-website-us-east-1.amazonaws.com/1356407/p/imap_app_photo_1689794547429.jpg", "View")</f>
        <v>View</v>
      </c>
      <c r="F53" t="s">
        <v>20</v>
      </c>
      <c r="G53" t="s">
        <v>21</v>
      </c>
      <c r="H53">
        <v>1103716</v>
      </c>
      <c r="I53" t="str">
        <f t="shared" ref="I53:I67" si="1">HYPERLINK("https://www.inaturalist.org/taxa/1103716-Litylenchus-crenatae", "View")</f>
        <v>View</v>
      </c>
      <c r="J53" t="s">
        <v>22</v>
      </c>
      <c r="K53" t="s">
        <v>23</v>
      </c>
      <c r="L53">
        <v>1103716</v>
      </c>
      <c r="M53">
        <v>7</v>
      </c>
      <c r="N53">
        <v>93.98</v>
      </c>
      <c r="P53">
        <v>1</v>
      </c>
      <c r="R53" t="s">
        <v>24</v>
      </c>
      <c r="S53" t="s">
        <v>25</v>
      </c>
      <c r="T53" t="s">
        <v>25</v>
      </c>
    </row>
    <row r="54" spans="1:20" x14ac:dyDescent="0.3">
      <c r="A54">
        <v>53</v>
      </c>
      <c r="B54" t="str">
        <f>HYPERLINK("https://imapinvasives.natureserve.org/imap/services/page/Presence/1341187.html", "View")</f>
        <v>View</v>
      </c>
      <c r="C54">
        <v>1341187</v>
      </c>
      <c r="D54">
        <v>1356406</v>
      </c>
      <c r="E54" t="str">
        <f>HYPERLINK("http://imap3images.s3-website-us-east-1.amazonaws.com/1356406/p/imap_app_photo_1689794540232.jpg", "View")</f>
        <v>View</v>
      </c>
      <c r="F54" t="s">
        <v>20</v>
      </c>
      <c r="G54" t="s">
        <v>21</v>
      </c>
      <c r="H54">
        <v>1103716</v>
      </c>
      <c r="I54" t="str">
        <f t="shared" si="1"/>
        <v>View</v>
      </c>
      <c r="J54" t="s">
        <v>22</v>
      </c>
      <c r="K54" t="s">
        <v>23</v>
      </c>
      <c r="L54">
        <v>1103716</v>
      </c>
      <c r="M54">
        <v>7</v>
      </c>
      <c r="N54">
        <v>96.69</v>
      </c>
      <c r="P54">
        <v>1</v>
      </c>
      <c r="R54" t="s">
        <v>24</v>
      </c>
      <c r="S54" t="s">
        <v>25</v>
      </c>
      <c r="T54" t="s">
        <v>25</v>
      </c>
    </row>
    <row r="55" spans="1:20" x14ac:dyDescent="0.3">
      <c r="A55">
        <v>54</v>
      </c>
      <c r="B55" t="str">
        <f>HYPERLINK("https://imapinvasives.natureserve.org/imap/services/page/Presence/1410474.html", "View")</f>
        <v>View</v>
      </c>
      <c r="C55">
        <v>1410474</v>
      </c>
      <c r="D55">
        <v>1422926</v>
      </c>
      <c r="E55" t="str">
        <f>HYPERLINK("http://imap3images.s3-website-us-east-1.amazonaws.com/1422926/p/imap_app_photo_1717683136391.jpg", "View")</f>
        <v>View</v>
      </c>
      <c r="F55" t="s">
        <v>20</v>
      </c>
      <c r="G55" t="s">
        <v>21</v>
      </c>
      <c r="H55">
        <v>1103716</v>
      </c>
      <c r="I55" t="str">
        <f t="shared" si="1"/>
        <v>View</v>
      </c>
      <c r="J55" t="s">
        <v>22</v>
      </c>
      <c r="K55" t="s">
        <v>23</v>
      </c>
      <c r="L55">
        <v>1103716</v>
      </c>
      <c r="M55">
        <v>2.96</v>
      </c>
      <c r="N55">
        <v>62.79</v>
      </c>
      <c r="P55">
        <v>1</v>
      </c>
      <c r="R55" t="s">
        <v>24</v>
      </c>
      <c r="S55" t="s">
        <v>25</v>
      </c>
      <c r="T55" t="s">
        <v>25</v>
      </c>
    </row>
    <row r="56" spans="1:20" x14ac:dyDescent="0.3">
      <c r="A56">
        <v>55</v>
      </c>
      <c r="B56" t="str">
        <f>HYPERLINK("https://imapinvasives.natureserve.org/imap/services/page/Presence/1438890.html", "View")</f>
        <v>View</v>
      </c>
      <c r="C56">
        <v>1438890</v>
      </c>
      <c r="D56">
        <v>1453210</v>
      </c>
      <c r="E56" t="str">
        <f>HYPERLINK("http://imap3images.s3-website-us-east-1.amazonaws.com/1453210/p/imap_app_photo_1722984268132.jpg", "View")</f>
        <v>View</v>
      </c>
      <c r="F56" t="s">
        <v>20</v>
      </c>
      <c r="G56" t="s">
        <v>21</v>
      </c>
      <c r="H56">
        <v>1103716</v>
      </c>
      <c r="I56" t="str">
        <f t="shared" si="1"/>
        <v>View</v>
      </c>
      <c r="J56" t="s">
        <v>22</v>
      </c>
      <c r="K56" t="s">
        <v>23</v>
      </c>
      <c r="L56">
        <v>1103716</v>
      </c>
      <c r="M56">
        <v>4.7300000000000004</v>
      </c>
      <c r="N56">
        <v>61.53</v>
      </c>
      <c r="P56">
        <v>1</v>
      </c>
      <c r="R56" t="s">
        <v>24</v>
      </c>
      <c r="S56" t="s">
        <v>25</v>
      </c>
      <c r="T56" t="s">
        <v>25</v>
      </c>
    </row>
    <row r="57" spans="1:20" x14ac:dyDescent="0.3">
      <c r="A57">
        <v>56</v>
      </c>
      <c r="B57" t="str">
        <f>HYPERLINK("https://imapinvasives.natureserve.org/imap/services/page/Presence/1417231.html", "View")</f>
        <v>View</v>
      </c>
      <c r="C57">
        <v>1417231</v>
      </c>
      <c r="D57">
        <v>1430879</v>
      </c>
      <c r="E57" t="str">
        <f>HYPERLINK("http://imap3images.s3-website-us-east-1.amazonaws.com/1430879/p/imap_app_photo_1720624227969.jpg", "View")</f>
        <v>View</v>
      </c>
      <c r="F57" t="s">
        <v>20</v>
      </c>
      <c r="G57" t="s">
        <v>21</v>
      </c>
      <c r="H57">
        <v>1103716</v>
      </c>
      <c r="I57" t="str">
        <f t="shared" si="1"/>
        <v>View</v>
      </c>
      <c r="J57" t="s">
        <v>22</v>
      </c>
      <c r="K57" t="s">
        <v>23</v>
      </c>
      <c r="L57">
        <v>1103716</v>
      </c>
      <c r="M57">
        <v>5.3</v>
      </c>
      <c r="N57">
        <v>94.64</v>
      </c>
      <c r="P57">
        <v>1</v>
      </c>
      <c r="R57" t="s">
        <v>24</v>
      </c>
      <c r="S57" t="s">
        <v>25</v>
      </c>
      <c r="T57" t="s">
        <v>25</v>
      </c>
    </row>
    <row r="58" spans="1:20" x14ac:dyDescent="0.3">
      <c r="A58">
        <v>57</v>
      </c>
      <c r="B58" t="str">
        <f>HYPERLINK("https://imapinvasives.natureserve.org/imap/services/page/Presence/1335860.html", "View")</f>
        <v>View</v>
      </c>
      <c r="C58">
        <v>1335860</v>
      </c>
      <c r="D58">
        <v>1350204</v>
      </c>
      <c r="E58" t="str">
        <f>HYPERLINK("http://imap3images.s3-website-us-east-1.amazonaws.com/1350204/p/imap_app_photo_1687305033744.jpg", "View")</f>
        <v>View</v>
      </c>
      <c r="F58" t="s">
        <v>20</v>
      </c>
      <c r="G58" t="s">
        <v>21</v>
      </c>
      <c r="H58">
        <v>1103716</v>
      </c>
      <c r="I58" t="str">
        <f t="shared" si="1"/>
        <v>View</v>
      </c>
      <c r="J58" t="s">
        <v>22</v>
      </c>
      <c r="K58" t="s">
        <v>23</v>
      </c>
      <c r="L58">
        <v>1103716</v>
      </c>
      <c r="M58">
        <v>37.090000000000003</v>
      </c>
      <c r="N58">
        <v>93.43</v>
      </c>
      <c r="P58">
        <v>1</v>
      </c>
      <c r="R58" t="s">
        <v>24</v>
      </c>
      <c r="S58" t="s">
        <v>25</v>
      </c>
      <c r="T58" t="s">
        <v>25</v>
      </c>
    </row>
    <row r="59" spans="1:20" x14ac:dyDescent="0.3">
      <c r="A59">
        <v>58</v>
      </c>
      <c r="B59" t="str">
        <f>HYPERLINK("https://imapinvasives.natureserve.org/imap/services/page/Presence/1279495.html", "View")</f>
        <v>View</v>
      </c>
      <c r="C59">
        <v>1279495</v>
      </c>
      <c r="D59">
        <v>1288858</v>
      </c>
      <c r="E59" t="str">
        <f>HYPERLINK("http://imap3images.s3-website-us-east-1.amazonaws.com/1288858/p/imap_app_photo_1656029183900.jpg", "View")</f>
        <v>View</v>
      </c>
      <c r="F59" t="s">
        <v>20</v>
      </c>
      <c r="G59" t="s">
        <v>21</v>
      </c>
      <c r="H59">
        <v>1103716</v>
      </c>
      <c r="I59" t="str">
        <f t="shared" si="1"/>
        <v>View</v>
      </c>
      <c r="J59" t="s">
        <v>22</v>
      </c>
      <c r="K59" t="s">
        <v>23</v>
      </c>
      <c r="L59">
        <v>1103716</v>
      </c>
      <c r="M59">
        <v>37.090000000000003</v>
      </c>
      <c r="N59">
        <v>43.35</v>
      </c>
      <c r="P59">
        <v>1</v>
      </c>
      <c r="R59" t="s">
        <v>24</v>
      </c>
      <c r="S59" t="s">
        <v>25</v>
      </c>
      <c r="T59" t="s">
        <v>25</v>
      </c>
    </row>
    <row r="60" spans="1:20" x14ac:dyDescent="0.3">
      <c r="A60">
        <v>59</v>
      </c>
      <c r="B60" t="str">
        <f>HYPERLINK("https://imapinvasives.natureserve.org/imap/services/page/Presence/1350500.html", "View")</f>
        <v>View</v>
      </c>
      <c r="C60">
        <v>1350500</v>
      </c>
      <c r="D60">
        <v>1367471</v>
      </c>
      <c r="E60" t="str">
        <f>HYPERLINK("http://imap3images.s3-website-us-east-1.amazonaws.com/1367471/p/imap_app_photo_1693248518999.jpg", "View")</f>
        <v>View</v>
      </c>
      <c r="F60" t="s">
        <v>20</v>
      </c>
      <c r="G60" t="s">
        <v>21</v>
      </c>
      <c r="H60">
        <v>1103716</v>
      </c>
      <c r="I60" t="str">
        <f t="shared" si="1"/>
        <v>View</v>
      </c>
      <c r="J60" t="s">
        <v>22</v>
      </c>
      <c r="K60" t="s">
        <v>23</v>
      </c>
      <c r="L60">
        <v>1103716</v>
      </c>
      <c r="M60">
        <v>45.38</v>
      </c>
      <c r="N60">
        <v>33.69</v>
      </c>
      <c r="P60">
        <v>1</v>
      </c>
      <c r="R60" t="s">
        <v>24</v>
      </c>
      <c r="S60" t="s">
        <v>25</v>
      </c>
      <c r="T60" t="s">
        <v>25</v>
      </c>
    </row>
    <row r="61" spans="1:20" x14ac:dyDescent="0.3">
      <c r="A61">
        <v>60</v>
      </c>
      <c r="B61" t="str">
        <f>HYPERLINK("https://imapinvasives.natureserve.org/imap/services/page/Presence/1409207.html", "View")</f>
        <v>View</v>
      </c>
      <c r="C61">
        <v>1409207</v>
      </c>
      <c r="D61">
        <v>1421610</v>
      </c>
      <c r="E61" t="str">
        <f>HYPERLINK("http://imap3images.s3-website-us-east-1.amazonaws.com/1421610/p/imap_app_photo_1716912166417.jpg", "View")</f>
        <v>View</v>
      </c>
      <c r="F61" t="s">
        <v>20</v>
      </c>
      <c r="G61" t="s">
        <v>21</v>
      </c>
      <c r="H61">
        <v>1103716</v>
      </c>
      <c r="I61" t="str">
        <f t="shared" si="1"/>
        <v>View</v>
      </c>
      <c r="J61" t="s">
        <v>22</v>
      </c>
      <c r="K61" t="s">
        <v>23</v>
      </c>
      <c r="L61">
        <v>1103716</v>
      </c>
      <c r="M61">
        <v>11.44</v>
      </c>
      <c r="N61">
        <v>79.86</v>
      </c>
      <c r="P61">
        <v>1</v>
      </c>
      <c r="R61" t="s">
        <v>24</v>
      </c>
      <c r="S61" t="s">
        <v>25</v>
      </c>
      <c r="T61" t="s">
        <v>25</v>
      </c>
    </row>
    <row r="62" spans="1:20" x14ac:dyDescent="0.3">
      <c r="A62">
        <v>61</v>
      </c>
      <c r="B62" t="str">
        <f>HYPERLINK("https://imapinvasives.natureserve.org/imap/services/page/Presence/1441517.html", "View")</f>
        <v>View</v>
      </c>
      <c r="C62">
        <v>1441517</v>
      </c>
      <c r="D62">
        <v>1455976</v>
      </c>
      <c r="E62" t="str">
        <f>HYPERLINK("http://imap3images.s3-website-us-east-1.amazonaws.com/1455976/p/imap_app_photo_1724180629326.jpg", "View")</f>
        <v>View</v>
      </c>
      <c r="F62" t="s">
        <v>20</v>
      </c>
      <c r="G62" t="s">
        <v>21</v>
      </c>
      <c r="H62">
        <v>1103716</v>
      </c>
      <c r="I62" t="str">
        <f t="shared" si="1"/>
        <v>View</v>
      </c>
      <c r="J62" t="s">
        <v>22</v>
      </c>
      <c r="K62" t="s">
        <v>23</v>
      </c>
      <c r="L62">
        <v>1103716</v>
      </c>
      <c r="M62">
        <v>24.94</v>
      </c>
      <c r="N62">
        <v>58.64</v>
      </c>
      <c r="P62">
        <v>1</v>
      </c>
      <c r="R62" t="s">
        <v>24</v>
      </c>
      <c r="S62" t="s">
        <v>25</v>
      </c>
      <c r="T62" t="s">
        <v>25</v>
      </c>
    </row>
    <row r="63" spans="1:20" x14ac:dyDescent="0.3">
      <c r="A63">
        <v>62</v>
      </c>
      <c r="B63" t="str">
        <f>HYPERLINK("https://imapinvasives.natureserve.org/imap/services/page/Presence/1434852.html", "View")</f>
        <v>View</v>
      </c>
      <c r="C63">
        <v>1434852</v>
      </c>
      <c r="D63">
        <v>1448542</v>
      </c>
      <c r="E63" t="str">
        <f>HYPERLINK("http://imap3images.s3-website-us-east-1.amazonaws.com/1448542/p/bld.jpeg", "View")</f>
        <v>View</v>
      </c>
      <c r="F63" t="s">
        <v>20</v>
      </c>
      <c r="G63" t="s">
        <v>21</v>
      </c>
      <c r="H63">
        <v>1103716</v>
      </c>
      <c r="I63" t="str">
        <f t="shared" si="1"/>
        <v>View</v>
      </c>
      <c r="J63" t="s">
        <v>22</v>
      </c>
      <c r="K63" t="s">
        <v>23</v>
      </c>
      <c r="L63">
        <v>1103716</v>
      </c>
      <c r="M63">
        <v>46.52</v>
      </c>
      <c r="N63">
        <v>98.24</v>
      </c>
      <c r="P63">
        <v>1</v>
      </c>
      <c r="R63" t="s">
        <v>24</v>
      </c>
      <c r="S63" t="s">
        <v>25</v>
      </c>
      <c r="T63" t="s">
        <v>25</v>
      </c>
    </row>
    <row r="64" spans="1:20" x14ac:dyDescent="0.3">
      <c r="A64">
        <v>63</v>
      </c>
      <c r="B64" t="str">
        <f>HYPERLINK("https://imapinvasives.natureserve.org/imap/services/page/Presence/1412131.html", "View")</f>
        <v>View</v>
      </c>
      <c r="C64">
        <v>1412131</v>
      </c>
      <c r="D64">
        <v>1424827</v>
      </c>
      <c r="E64" t="str">
        <f>HYPERLINK("http://imap3images.s3-website-us-east-1.amazonaws.com/1424827/p/imap_app_photo_1718812508769.jpg", "View")</f>
        <v>View</v>
      </c>
      <c r="F64" t="s">
        <v>20</v>
      </c>
      <c r="G64" t="s">
        <v>21</v>
      </c>
      <c r="H64">
        <v>1103716</v>
      </c>
      <c r="I64" t="str">
        <f t="shared" si="1"/>
        <v>View</v>
      </c>
      <c r="J64" t="s">
        <v>22</v>
      </c>
      <c r="K64" t="s">
        <v>23</v>
      </c>
      <c r="L64">
        <v>1103716</v>
      </c>
      <c r="M64">
        <v>37.090000000000003</v>
      </c>
      <c r="N64">
        <v>82.71</v>
      </c>
      <c r="P64">
        <v>1</v>
      </c>
      <c r="R64" t="s">
        <v>24</v>
      </c>
      <c r="S64" t="s">
        <v>25</v>
      </c>
      <c r="T64" t="s">
        <v>25</v>
      </c>
    </row>
    <row r="65" spans="1:20" x14ac:dyDescent="0.3">
      <c r="A65">
        <v>64</v>
      </c>
      <c r="B65" t="str">
        <f>HYPERLINK("https://imapinvasives.natureserve.org/imap/services/page/Presence/1412137.html", "View")</f>
        <v>View</v>
      </c>
      <c r="C65">
        <v>1412137</v>
      </c>
      <c r="D65">
        <v>1424833</v>
      </c>
      <c r="E65" t="str">
        <f>HYPERLINK("http://imap3images.s3-website-us-east-1.amazonaws.com/1424833/p/imap_app_photo_1718812609736.jpg", "View")</f>
        <v>View</v>
      </c>
      <c r="F65" t="s">
        <v>20</v>
      </c>
      <c r="G65" t="s">
        <v>21</v>
      </c>
      <c r="H65">
        <v>1103716</v>
      </c>
      <c r="I65" t="str">
        <f t="shared" si="1"/>
        <v>View</v>
      </c>
      <c r="J65" t="s">
        <v>22</v>
      </c>
      <c r="K65" t="s">
        <v>23</v>
      </c>
      <c r="L65">
        <v>1103716</v>
      </c>
      <c r="M65">
        <v>37.090000000000003</v>
      </c>
      <c r="N65">
        <v>44.08</v>
      </c>
      <c r="P65">
        <v>1</v>
      </c>
      <c r="R65" t="s">
        <v>24</v>
      </c>
      <c r="S65" t="s">
        <v>25</v>
      </c>
      <c r="T65" t="s">
        <v>25</v>
      </c>
    </row>
    <row r="66" spans="1:20" x14ac:dyDescent="0.3">
      <c r="A66">
        <v>65</v>
      </c>
      <c r="B66" t="str">
        <f>HYPERLINK("https://imapinvasives.natureserve.org/imap/services/page/Presence/1411304.html", "View")</f>
        <v>View</v>
      </c>
      <c r="C66">
        <v>1411304</v>
      </c>
      <c r="D66">
        <v>1423872</v>
      </c>
      <c r="E66" t="str">
        <f>HYPERLINK("http://imap3images.s3-website-us-east-1.amazonaws.com/1423872/p/imap_app_photo_1718225126375.jpg", "View")</f>
        <v>View</v>
      </c>
      <c r="F66" t="s">
        <v>20</v>
      </c>
      <c r="G66" t="s">
        <v>21</v>
      </c>
      <c r="H66">
        <v>1103716</v>
      </c>
      <c r="I66" t="str">
        <f t="shared" si="1"/>
        <v>View</v>
      </c>
      <c r="J66" t="s">
        <v>22</v>
      </c>
      <c r="K66" t="s">
        <v>23</v>
      </c>
      <c r="L66">
        <v>1103716</v>
      </c>
      <c r="M66">
        <v>4.6100000000000003</v>
      </c>
      <c r="N66">
        <v>89.76</v>
      </c>
      <c r="P66">
        <v>1</v>
      </c>
      <c r="R66" t="s">
        <v>24</v>
      </c>
      <c r="S66" t="s">
        <v>25</v>
      </c>
      <c r="T66" t="s">
        <v>25</v>
      </c>
    </row>
    <row r="67" spans="1:20" x14ac:dyDescent="0.3">
      <c r="A67">
        <v>66</v>
      </c>
      <c r="B67" t="str">
        <f>HYPERLINK("https://imapinvasives.natureserve.org/imap/services/page/Presence/1411311.html", "View")</f>
        <v>View</v>
      </c>
      <c r="C67">
        <v>1411311</v>
      </c>
      <c r="D67">
        <v>1423879</v>
      </c>
      <c r="E67" t="str">
        <f>HYPERLINK("http://imap3images.s3-website-us-east-1.amazonaws.com/1423879/p/imap_app_photo_1718225160028.jpg", "View")</f>
        <v>View</v>
      </c>
      <c r="F67" t="s">
        <v>20</v>
      </c>
      <c r="G67" t="s">
        <v>21</v>
      </c>
      <c r="H67">
        <v>1103716</v>
      </c>
      <c r="I67" t="str">
        <f t="shared" si="1"/>
        <v>View</v>
      </c>
      <c r="J67" t="s">
        <v>22</v>
      </c>
      <c r="K67" t="s">
        <v>23</v>
      </c>
      <c r="L67">
        <v>1103716</v>
      </c>
      <c r="M67">
        <v>4.6100000000000003</v>
      </c>
      <c r="N67">
        <v>87.38</v>
      </c>
      <c r="P67">
        <v>1</v>
      </c>
      <c r="R67" t="s">
        <v>24</v>
      </c>
      <c r="S67" t="s">
        <v>25</v>
      </c>
      <c r="T67" t="s">
        <v>25</v>
      </c>
    </row>
    <row r="68" spans="1:20" s="3" customFormat="1" x14ac:dyDescent="0.3">
      <c r="A68" s="3">
        <v>67</v>
      </c>
      <c r="B68" s="3" t="str">
        <f>HYPERLINK("https://imapinvasives.natureserve.org/imap/services/page/Presence/1406995.html", "View")</f>
        <v>View</v>
      </c>
      <c r="C68" s="3">
        <v>1406995</v>
      </c>
      <c r="D68" s="3">
        <v>1419570</v>
      </c>
      <c r="E68" s="3" t="str">
        <f>HYPERLINK("http://imap3images.s3-website-us-east-1.amazonaws.com/1419570/p/imap_app_photo_1715614470157.jpg", "View")</f>
        <v>View</v>
      </c>
      <c r="F68" s="3" t="s">
        <v>20</v>
      </c>
      <c r="G68" s="3" t="s">
        <v>21</v>
      </c>
      <c r="H68" s="3">
        <v>1103716</v>
      </c>
      <c r="I68" s="3" t="str">
        <f>HYPERLINK("https://www.inaturalist.org/taxa/49202-Fagus-grandifolia", "View")</f>
        <v>View</v>
      </c>
      <c r="J68" s="3" t="s">
        <v>26</v>
      </c>
      <c r="K68" s="3" t="s">
        <v>27</v>
      </c>
      <c r="L68" s="3">
        <v>49202</v>
      </c>
      <c r="M68" s="3">
        <v>29</v>
      </c>
      <c r="N68" s="3">
        <v>68.930000000000007</v>
      </c>
      <c r="P68" s="3">
        <v>0</v>
      </c>
      <c r="R68" s="3" t="s">
        <v>33</v>
      </c>
      <c r="S68" s="3" t="s">
        <v>25</v>
      </c>
      <c r="T68" s="3" t="s">
        <v>25</v>
      </c>
    </row>
    <row r="69" spans="1:20" x14ac:dyDescent="0.3">
      <c r="A69">
        <v>68</v>
      </c>
      <c r="B69" t="str">
        <f>HYPERLINK("https://imapinvasives.natureserve.org/imap/services/page/Presence/1335493.html", "View")</f>
        <v>View</v>
      </c>
      <c r="C69">
        <v>1335493</v>
      </c>
      <c r="D69">
        <v>1349798</v>
      </c>
      <c r="E69" t="str">
        <f>HYPERLINK("http://imap3images.s3-website-us-east-1.amazonaws.com/1349798/p/Goundry_B-15_BLD_3.jpg", "View")</f>
        <v>View</v>
      </c>
      <c r="F69" t="s">
        <v>20</v>
      </c>
      <c r="G69" t="s">
        <v>21</v>
      </c>
      <c r="H69">
        <v>1103716</v>
      </c>
      <c r="I69" t="str">
        <f>HYPERLINK("https://www.inaturalist.org/taxa/1103716-Litylenchus-crenatae", "View")</f>
        <v>View</v>
      </c>
      <c r="J69" t="s">
        <v>22</v>
      </c>
      <c r="K69" t="s">
        <v>23</v>
      </c>
      <c r="L69">
        <v>1103716</v>
      </c>
      <c r="M69">
        <v>8.32</v>
      </c>
      <c r="N69">
        <v>99.45</v>
      </c>
      <c r="P69">
        <v>1</v>
      </c>
      <c r="R69" t="s">
        <v>24</v>
      </c>
      <c r="S69" t="s">
        <v>25</v>
      </c>
      <c r="T69" t="s">
        <v>25</v>
      </c>
    </row>
    <row r="70" spans="1:20" s="3" customFormat="1" x14ac:dyDescent="0.3">
      <c r="A70" s="3">
        <v>69</v>
      </c>
      <c r="B70" s="3" t="str">
        <f>HYPERLINK("https://imapinvasives.natureserve.org/imap/services/page/Presence/1344210.html", "View")</f>
        <v>View</v>
      </c>
      <c r="C70" s="3">
        <v>1344210</v>
      </c>
      <c r="D70" s="3">
        <v>1359878</v>
      </c>
      <c r="E70" s="3" t="str">
        <f>HYPERLINK("http://imap3images.s3-website-us-east-1.amazonaws.com/1359878/p/Photo2-20230731-204232.jpg", "View")</f>
        <v>View</v>
      </c>
      <c r="F70" s="3" t="s">
        <v>20</v>
      </c>
      <c r="G70" s="3" t="s">
        <v>21</v>
      </c>
      <c r="H70" s="3">
        <v>1103716</v>
      </c>
      <c r="I70" s="3" t="str">
        <f>HYPERLINK("https://www.inaturalist.org/taxa/49202-Fagus-grandifolia", "View")</f>
        <v>View</v>
      </c>
      <c r="J70" s="3" t="s">
        <v>26</v>
      </c>
      <c r="K70" s="3" t="s">
        <v>27</v>
      </c>
      <c r="L70" s="3">
        <v>49202</v>
      </c>
      <c r="M70" s="3">
        <v>32.22</v>
      </c>
      <c r="N70" s="3">
        <v>91.52</v>
      </c>
      <c r="P70" s="3">
        <v>0</v>
      </c>
      <c r="R70" s="3" t="s">
        <v>33</v>
      </c>
      <c r="S70" s="3" t="s">
        <v>51</v>
      </c>
      <c r="T70" s="3" t="s">
        <v>51</v>
      </c>
    </row>
    <row r="71" spans="1:20" x14ac:dyDescent="0.3">
      <c r="A71">
        <v>70</v>
      </c>
      <c r="B71" t="str">
        <f>HYPERLINK("https://imapinvasives.natureserve.org/imap/services/page/Presence/1339360.html", "View")</f>
        <v>View</v>
      </c>
      <c r="C71">
        <v>1339360</v>
      </c>
      <c r="D71">
        <v>1354234</v>
      </c>
      <c r="E71" t="str">
        <f>HYPERLINK("http://imap3images.s3-website-us-east-1.amazonaws.com/1354234/p/Photo3-20230707-171251.jpg", "View")</f>
        <v>View</v>
      </c>
      <c r="F71" t="s">
        <v>20</v>
      </c>
      <c r="G71" t="s">
        <v>21</v>
      </c>
      <c r="H71">
        <v>1103716</v>
      </c>
      <c r="I71" t="str">
        <f>HYPERLINK("https://www.inaturalist.org/taxa/1103716-Litylenchus-crenatae", "View")</f>
        <v>View</v>
      </c>
      <c r="J71" t="s">
        <v>22</v>
      </c>
      <c r="K71" t="s">
        <v>23</v>
      </c>
      <c r="L71">
        <v>1103716</v>
      </c>
      <c r="M71">
        <v>9.1999999999999993</v>
      </c>
      <c r="N71">
        <v>35.21</v>
      </c>
      <c r="P71">
        <v>1</v>
      </c>
      <c r="R71" t="s">
        <v>24</v>
      </c>
      <c r="S71" t="s">
        <v>25</v>
      </c>
      <c r="T71" t="s">
        <v>25</v>
      </c>
    </row>
    <row r="72" spans="1:20" x14ac:dyDescent="0.3">
      <c r="A72">
        <v>71</v>
      </c>
      <c r="B72" t="str">
        <f>HYPERLINK("https://imapinvasives.natureserve.org/imap/services/page/Presence/1272745.html", "View")</f>
        <v>View</v>
      </c>
      <c r="C72">
        <v>1272745</v>
      </c>
      <c r="D72">
        <v>1281841</v>
      </c>
      <c r="E72" t="str">
        <f>HYPERLINK("http://imap3images.s3-website-us-east-1.amazonaws.com/1281841/p/20220524_193811.jpg", "View")</f>
        <v>View</v>
      </c>
      <c r="F72" t="s">
        <v>20</v>
      </c>
      <c r="G72" t="s">
        <v>21</v>
      </c>
      <c r="H72">
        <v>1103716</v>
      </c>
      <c r="I72" t="str">
        <f>HYPERLINK("https://www.inaturalist.org/taxa/1103716-Litylenchus-crenatae", "View")</f>
        <v>View</v>
      </c>
      <c r="J72" t="s">
        <v>22</v>
      </c>
      <c r="K72" t="s">
        <v>23</v>
      </c>
      <c r="L72">
        <v>1103716</v>
      </c>
      <c r="M72">
        <v>32.54</v>
      </c>
      <c r="N72">
        <v>61.51</v>
      </c>
      <c r="P72">
        <v>1</v>
      </c>
      <c r="R72" t="s">
        <v>24</v>
      </c>
      <c r="S72" t="s">
        <v>25</v>
      </c>
      <c r="T72" t="s">
        <v>25</v>
      </c>
    </row>
    <row r="73" spans="1:20" s="3" customFormat="1" x14ac:dyDescent="0.3">
      <c r="A73" s="3">
        <v>72</v>
      </c>
      <c r="B73" s="3" t="str">
        <f>HYPERLINK("https://imapinvasives.natureserve.org/imap/services/page/Presence/1346370.html", "View")</f>
        <v>View</v>
      </c>
      <c r="C73" s="3">
        <v>1346370</v>
      </c>
      <c r="D73" s="3">
        <v>1362632</v>
      </c>
      <c r="E73" s="3" t="str">
        <f>HYPERLINK("http://imap3images.s3-website-us-east-1.amazonaws.com/1362632/p/imap_app_photo_1691693676203.jpg", "View")</f>
        <v>View</v>
      </c>
      <c r="F73" s="3" t="s">
        <v>20</v>
      </c>
      <c r="G73" s="3" t="s">
        <v>21</v>
      </c>
      <c r="H73" s="3">
        <v>1103716</v>
      </c>
      <c r="I73" s="3" t="str">
        <f>HYPERLINK("https://www.inaturalist.org/taxa/49202-Fagus-grandifolia", "View")</f>
        <v>View</v>
      </c>
      <c r="J73" s="3" t="s">
        <v>26</v>
      </c>
      <c r="K73" s="3" t="s">
        <v>27</v>
      </c>
      <c r="L73" s="3">
        <v>49202</v>
      </c>
      <c r="M73" s="3">
        <v>54.71</v>
      </c>
      <c r="N73" s="3">
        <v>67.63</v>
      </c>
      <c r="P73" s="3">
        <v>0</v>
      </c>
      <c r="R73" s="3" t="s">
        <v>33</v>
      </c>
      <c r="S73" s="3" t="s">
        <v>34</v>
      </c>
      <c r="T73" s="3" t="s">
        <v>34</v>
      </c>
    </row>
    <row r="74" spans="1:20" x14ac:dyDescent="0.3">
      <c r="A74">
        <v>73</v>
      </c>
      <c r="B74" t="str">
        <f>HYPERLINK("https://imapinvasives.natureserve.org/imap/services/page/Presence/1393912.html", "View")</f>
        <v>View</v>
      </c>
      <c r="C74">
        <v>1393912</v>
      </c>
      <c r="D74">
        <v>1412193</v>
      </c>
      <c r="E74" t="str">
        <f>HYPERLINK("http://imap3images.s3-website-us-east-1.amazonaws.com/1412193/p/imap_app_photo_1713384121576.jpg", "View")</f>
        <v>View</v>
      </c>
      <c r="F74" t="s">
        <v>20</v>
      </c>
      <c r="G74" t="s">
        <v>21</v>
      </c>
      <c r="H74">
        <v>1103716</v>
      </c>
      <c r="I74" t="str">
        <f>HYPERLINK("https://www.inaturalist.org/taxa/1103716-Litylenchus-crenatae", "View")</f>
        <v>View</v>
      </c>
      <c r="J74" t="s">
        <v>22</v>
      </c>
      <c r="K74" t="s">
        <v>23</v>
      </c>
      <c r="L74">
        <v>1103716</v>
      </c>
      <c r="M74">
        <v>19.309999999999999</v>
      </c>
      <c r="N74">
        <v>68.760000000000005</v>
      </c>
      <c r="P74">
        <v>1</v>
      </c>
      <c r="R74" t="s">
        <v>24</v>
      </c>
      <c r="S74" t="s">
        <v>25</v>
      </c>
      <c r="T74" t="s">
        <v>25</v>
      </c>
    </row>
    <row r="75" spans="1:20" x14ac:dyDescent="0.3">
      <c r="A75">
        <v>74</v>
      </c>
      <c r="B75" t="str">
        <f>HYPERLINK("https://imapinvasives.natureserve.org/imap/services/page/Presence/1330817.html", "View")</f>
        <v>View</v>
      </c>
      <c r="C75">
        <v>1330817</v>
      </c>
      <c r="D75">
        <v>1344293</v>
      </c>
      <c r="E75" t="str">
        <f>HYPERLINK("http://imap3images.s3-website-us-east-1.amazonaws.com/1344293/p/HPIM0844.JPG", "View")</f>
        <v>View</v>
      </c>
      <c r="F75" t="s">
        <v>20</v>
      </c>
      <c r="G75" t="s">
        <v>21</v>
      </c>
      <c r="H75">
        <v>1103716</v>
      </c>
      <c r="I75" t="str">
        <f>HYPERLINK("https://www.inaturalist.org/taxa/1103716-Litylenchus-crenatae", "View")</f>
        <v>View</v>
      </c>
      <c r="J75" t="s">
        <v>22</v>
      </c>
      <c r="K75" t="s">
        <v>23</v>
      </c>
      <c r="L75">
        <v>1103716</v>
      </c>
      <c r="M75">
        <v>19.309999999999999</v>
      </c>
      <c r="N75">
        <v>97.51</v>
      </c>
      <c r="P75">
        <v>1</v>
      </c>
      <c r="R75" t="s">
        <v>24</v>
      </c>
      <c r="S75" t="s">
        <v>25</v>
      </c>
      <c r="T75" t="s">
        <v>25</v>
      </c>
    </row>
    <row r="76" spans="1:20" s="3" customFormat="1" x14ac:dyDescent="0.3">
      <c r="A76" s="3">
        <v>75</v>
      </c>
      <c r="B76" s="3" t="str">
        <f>HYPERLINK("https://imapinvasives.natureserve.org/imap/services/page/Presence/1344313.html", "View")</f>
        <v>View</v>
      </c>
      <c r="C76" s="3">
        <v>1344313</v>
      </c>
      <c r="D76" s="3">
        <v>1360059</v>
      </c>
      <c r="E76" s="3" t="str">
        <f>HYPERLINK("http://imap3images.s3-website-us-east-1.amazonaws.com/1360059/p/20230801_BLD_Jenksville.jpg", "View")</f>
        <v>View</v>
      </c>
      <c r="F76" s="3" t="s">
        <v>20</v>
      </c>
      <c r="G76" s="3" t="s">
        <v>21</v>
      </c>
      <c r="H76" s="3">
        <v>1103716</v>
      </c>
      <c r="I76" s="3" t="str">
        <f>HYPERLINK("https://www.inaturalist.org/taxa/49202-Fagus-grandifolia", "View")</f>
        <v>View</v>
      </c>
      <c r="J76" s="3" t="s">
        <v>26</v>
      </c>
      <c r="K76" s="3" t="s">
        <v>27</v>
      </c>
      <c r="L76" s="3">
        <v>49202</v>
      </c>
      <c r="M76" s="3">
        <v>30.71</v>
      </c>
      <c r="N76" s="3">
        <v>57.61</v>
      </c>
      <c r="P76" s="3">
        <v>0</v>
      </c>
      <c r="R76" s="3" t="s">
        <v>33</v>
      </c>
      <c r="S76" s="3" t="s">
        <v>34</v>
      </c>
      <c r="T76" s="3" t="s">
        <v>34</v>
      </c>
    </row>
    <row r="77" spans="1:20" x14ac:dyDescent="0.3">
      <c r="A77">
        <v>76</v>
      </c>
      <c r="B77" t="str">
        <f>HYPERLINK("https://imapinvasives.natureserve.org/imap/services/page/Presence/1435976.html", "View")</f>
        <v>View</v>
      </c>
      <c r="C77">
        <v>1435976</v>
      </c>
      <c r="D77">
        <v>1449747</v>
      </c>
      <c r="E77" t="str">
        <f>HYPERLINK("http://imap3images.s3-website-us-east-1.amazonaws.com/1449747/p/imap_app_photo_1721765171655.jpg", "View")</f>
        <v>View</v>
      </c>
      <c r="F77" t="s">
        <v>20</v>
      </c>
      <c r="G77" t="s">
        <v>21</v>
      </c>
      <c r="H77">
        <v>1103716</v>
      </c>
      <c r="I77" t="str">
        <f>HYPERLINK("https://www.inaturalist.org/taxa/1103716-Litylenchus-crenatae", "View")</f>
        <v>View</v>
      </c>
      <c r="J77" t="s">
        <v>22</v>
      </c>
      <c r="K77" t="s">
        <v>23</v>
      </c>
      <c r="L77">
        <v>1103716</v>
      </c>
      <c r="M77">
        <v>9.1300000000000008</v>
      </c>
      <c r="N77">
        <v>74.67</v>
      </c>
      <c r="P77">
        <v>1</v>
      </c>
      <c r="R77" t="s">
        <v>24</v>
      </c>
      <c r="S77" t="s">
        <v>25</v>
      </c>
      <c r="T77" t="s">
        <v>25</v>
      </c>
    </row>
    <row r="78" spans="1:20" x14ac:dyDescent="0.3">
      <c r="A78">
        <v>77</v>
      </c>
      <c r="B78" t="str">
        <f>HYPERLINK("https://imapinvasives.natureserve.org/imap/services/page/Presence/1412512.html", "View")</f>
        <v>View</v>
      </c>
      <c r="C78">
        <v>1412512</v>
      </c>
      <c r="D78">
        <v>1425235</v>
      </c>
      <c r="E78" t="str">
        <f>HYPERLINK("http://imap3images.s3-website-us-east-1.amazonaws.com/1425235/p/Beech_leaf_disease_on_Wilson_Trail_south_5-24-2024_IMG_0761.jpg", "View")</f>
        <v>View</v>
      </c>
      <c r="F78" t="s">
        <v>20</v>
      </c>
      <c r="G78" t="s">
        <v>21</v>
      </c>
      <c r="H78">
        <v>1103716</v>
      </c>
      <c r="I78" t="str">
        <f>HYPERLINK("https://www.inaturalist.org/taxa/1103716-Litylenchus-crenatae", "View")</f>
        <v>View</v>
      </c>
      <c r="J78" t="s">
        <v>22</v>
      </c>
      <c r="K78" t="s">
        <v>23</v>
      </c>
      <c r="L78">
        <v>1103716</v>
      </c>
      <c r="M78">
        <v>7.27</v>
      </c>
      <c r="N78">
        <v>73.040000000000006</v>
      </c>
      <c r="P78">
        <v>1</v>
      </c>
      <c r="R78" t="s">
        <v>24</v>
      </c>
      <c r="S78" t="s">
        <v>25</v>
      </c>
      <c r="T78" t="s">
        <v>25</v>
      </c>
    </row>
    <row r="79" spans="1:20" x14ac:dyDescent="0.3">
      <c r="A79">
        <v>78</v>
      </c>
      <c r="B79" t="str">
        <f>HYPERLINK("https://imapinvasives.natureserve.org/imap/services/page/Presence/1273602.html", "View")</f>
        <v>View</v>
      </c>
      <c r="C79">
        <v>1273602</v>
      </c>
      <c r="D79">
        <v>1282792</v>
      </c>
      <c r="E79" t="str">
        <f>HYPERLINK("http://imap3images.s3-website-us-east-1.amazonaws.com/1282792/p/imap_app_photo_1654361544576.jpg", "View")</f>
        <v>View</v>
      </c>
      <c r="F79" t="s">
        <v>20</v>
      </c>
      <c r="G79" t="s">
        <v>21</v>
      </c>
      <c r="H79">
        <v>1103716</v>
      </c>
      <c r="I79" t="str">
        <f>HYPERLINK("https://www.inaturalist.org/taxa/1103716-Litylenchus-crenatae", "View")</f>
        <v>View</v>
      </c>
      <c r="J79" t="s">
        <v>22</v>
      </c>
      <c r="K79" t="s">
        <v>23</v>
      </c>
      <c r="L79">
        <v>1103716</v>
      </c>
      <c r="M79">
        <v>7.27</v>
      </c>
      <c r="N79">
        <v>99.14</v>
      </c>
      <c r="P79">
        <v>1</v>
      </c>
      <c r="R79" t="s">
        <v>24</v>
      </c>
      <c r="S79" t="s">
        <v>25</v>
      </c>
      <c r="T79" t="s">
        <v>25</v>
      </c>
    </row>
    <row r="80" spans="1:20" x14ac:dyDescent="0.3">
      <c r="A80">
        <v>79</v>
      </c>
      <c r="B80" t="str">
        <f>HYPERLINK("https://imapinvasives.natureserve.org/imap/services/page/Presence/1414381.html", "View")</f>
        <v>View</v>
      </c>
      <c r="C80">
        <v>1414381</v>
      </c>
      <c r="D80">
        <v>1427896</v>
      </c>
      <c r="E80" t="str">
        <f>HYPERLINK("http://imap3images.s3-website-us-east-1.amazonaws.com/1427896/p/imap_app_photo_1719877815903.jpg", "View")</f>
        <v>View</v>
      </c>
      <c r="F80" t="s">
        <v>20</v>
      </c>
      <c r="G80" t="s">
        <v>21</v>
      </c>
      <c r="H80">
        <v>1103716</v>
      </c>
      <c r="I80" t="str">
        <f>HYPERLINK("https://www.inaturalist.org/taxa/1103716-Litylenchus-crenatae", "View")</f>
        <v>View</v>
      </c>
      <c r="J80" t="s">
        <v>22</v>
      </c>
      <c r="K80" t="s">
        <v>23</v>
      </c>
      <c r="L80">
        <v>1103716</v>
      </c>
      <c r="M80">
        <v>8.7100000000000009</v>
      </c>
      <c r="N80">
        <v>70.709999999999994</v>
      </c>
      <c r="P80">
        <v>1</v>
      </c>
      <c r="R80" t="s">
        <v>24</v>
      </c>
      <c r="S80" t="s">
        <v>25</v>
      </c>
      <c r="T80" t="s">
        <v>25</v>
      </c>
    </row>
    <row r="81" spans="1:20" s="3" customFormat="1" x14ac:dyDescent="0.3">
      <c r="A81" s="3">
        <v>80</v>
      </c>
      <c r="B81" s="3" t="str">
        <f>HYPERLINK("https://imapinvasives.natureserve.org/imap/services/page/Presence/1442582.html", "View")</f>
        <v>View</v>
      </c>
      <c r="C81" s="3">
        <v>1442582</v>
      </c>
      <c r="D81" s="3">
        <v>1457157</v>
      </c>
      <c r="E81" s="3" t="str">
        <f>HYPERLINK("http://imap3images.s3-website-us-east-1.amazonaws.com/1457157/p/imap_app_photo_1724704657348.jpg", "View")</f>
        <v>View</v>
      </c>
      <c r="F81" s="3" t="s">
        <v>20</v>
      </c>
      <c r="G81" s="3" t="s">
        <v>21</v>
      </c>
      <c r="H81" s="3">
        <v>1103716</v>
      </c>
      <c r="I81" s="3" t="str">
        <f>HYPERLINK("https://www.inaturalist.org/taxa/49202-Fagus-grandifolia", "View")</f>
        <v>View</v>
      </c>
      <c r="J81" s="3" t="s">
        <v>26</v>
      </c>
      <c r="K81" s="3" t="s">
        <v>27</v>
      </c>
      <c r="L81" s="3">
        <v>49202</v>
      </c>
      <c r="M81" s="3">
        <v>59.21</v>
      </c>
      <c r="N81" s="3">
        <v>68.14</v>
      </c>
      <c r="P81" s="3">
        <v>0</v>
      </c>
      <c r="R81" s="3" t="s">
        <v>33</v>
      </c>
      <c r="S81" s="3" t="s">
        <v>51</v>
      </c>
      <c r="T81" s="3" t="s">
        <v>51</v>
      </c>
    </row>
    <row r="82" spans="1:20" x14ac:dyDescent="0.3">
      <c r="A82">
        <v>81</v>
      </c>
      <c r="B82" t="str">
        <f>HYPERLINK("https://imapinvasives.natureserve.org/imap/services/page/Presence/1343743.html", "View")</f>
        <v>View</v>
      </c>
      <c r="C82">
        <v>1343743</v>
      </c>
      <c r="D82">
        <v>1359373</v>
      </c>
      <c r="E82" t="str">
        <f>HYPERLINK("http://imap3images.s3-website-us-east-1.amazonaws.com/1359373/p/imap_app_photo_1690835067827.jpg", "View")</f>
        <v>View</v>
      </c>
      <c r="F82" t="s">
        <v>20</v>
      </c>
      <c r="G82" t="s">
        <v>21</v>
      </c>
      <c r="H82">
        <v>1103716</v>
      </c>
      <c r="I82" t="str">
        <f t="shared" ref="I82:I89" si="2">HYPERLINK("https://www.inaturalist.org/taxa/1103716-Litylenchus-crenatae", "View")</f>
        <v>View</v>
      </c>
      <c r="J82" t="s">
        <v>22</v>
      </c>
      <c r="K82" t="s">
        <v>23</v>
      </c>
      <c r="L82">
        <v>1103716</v>
      </c>
      <c r="M82">
        <v>3.06</v>
      </c>
      <c r="N82">
        <v>47.22</v>
      </c>
      <c r="P82">
        <v>1</v>
      </c>
      <c r="R82" t="s">
        <v>24</v>
      </c>
      <c r="S82" t="s">
        <v>25</v>
      </c>
      <c r="T82" t="s">
        <v>25</v>
      </c>
    </row>
    <row r="83" spans="1:20" x14ac:dyDescent="0.3">
      <c r="A83">
        <v>82</v>
      </c>
      <c r="B83" t="str">
        <f>HYPERLINK("https://imapinvasives.natureserve.org/imap/services/page/Presence/1410593.html", "View")</f>
        <v>View</v>
      </c>
      <c r="C83">
        <v>1410593</v>
      </c>
      <c r="D83">
        <v>1423100</v>
      </c>
      <c r="E83" t="str">
        <f>HYPERLINK("http://imap3images.s3-website-us-east-1.amazonaws.com/1423100/p/imap_app_photo_1717786996066.jpg", "View")</f>
        <v>View</v>
      </c>
      <c r="F83" t="s">
        <v>20</v>
      </c>
      <c r="G83" t="s">
        <v>21</v>
      </c>
      <c r="H83">
        <v>1103716</v>
      </c>
      <c r="I83" t="str">
        <f t="shared" si="2"/>
        <v>View</v>
      </c>
      <c r="J83" t="s">
        <v>22</v>
      </c>
      <c r="K83" t="s">
        <v>23</v>
      </c>
      <c r="L83">
        <v>1103716</v>
      </c>
      <c r="M83">
        <v>4.6100000000000003</v>
      </c>
      <c r="N83">
        <v>72.069999999999993</v>
      </c>
      <c r="P83">
        <v>1</v>
      </c>
      <c r="R83" t="s">
        <v>24</v>
      </c>
      <c r="S83" t="s">
        <v>25</v>
      </c>
      <c r="T83" t="s">
        <v>25</v>
      </c>
    </row>
    <row r="84" spans="1:20" x14ac:dyDescent="0.3">
      <c r="A84">
        <v>83</v>
      </c>
      <c r="B84" t="str">
        <f>HYPERLINK("https://imapinvasives.natureserve.org/imap/services/page/Presence/1436812.html", "View")</f>
        <v>View</v>
      </c>
      <c r="C84">
        <v>1436812</v>
      </c>
      <c r="D84">
        <v>1450848</v>
      </c>
      <c r="E84" t="str">
        <f>HYPERLINK("http://imap3images.s3-website-us-east-1.amazonaws.com/1450848/p/imap_app_photo_1722016372219.jpg", "View")</f>
        <v>View</v>
      </c>
      <c r="F84" t="s">
        <v>20</v>
      </c>
      <c r="G84" t="s">
        <v>21</v>
      </c>
      <c r="H84">
        <v>1103716</v>
      </c>
      <c r="I84" t="str">
        <f t="shared" si="2"/>
        <v>View</v>
      </c>
      <c r="J84" t="s">
        <v>22</v>
      </c>
      <c r="K84" t="s">
        <v>23</v>
      </c>
      <c r="L84">
        <v>1103716</v>
      </c>
      <c r="M84">
        <v>37.090000000000003</v>
      </c>
      <c r="N84">
        <v>99.97</v>
      </c>
      <c r="P84">
        <v>1</v>
      </c>
      <c r="R84" t="s">
        <v>24</v>
      </c>
      <c r="S84" t="s">
        <v>25</v>
      </c>
      <c r="T84" t="s">
        <v>25</v>
      </c>
    </row>
    <row r="85" spans="1:20" x14ac:dyDescent="0.3">
      <c r="A85">
        <v>84</v>
      </c>
      <c r="B85" t="str">
        <f>HYPERLINK("https://imapinvasives.natureserve.org/imap/services/page/Presence/1337825.html", "View")</f>
        <v>View</v>
      </c>
      <c r="C85">
        <v>1337825</v>
      </c>
      <c r="D85">
        <v>1352461</v>
      </c>
      <c r="E85" t="str">
        <f>HYPERLINK("http://imap3images.s3-website-us-east-1.amazonaws.com/1352461/p/imap_app_photo_1688159004818.jpg", "View")</f>
        <v>View</v>
      </c>
      <c r="F85" t="s">
        <v>20</v>
      </c>
      <c r="G85" t="s">
        <v>21</v>
      </c>
      <c r="H85">
        <v>1103716</v>
      </c>
      <c r="I85" t="str">
        <f t="shared" si="2"/>
        <v>View</v>
      </c>
      <c r="J85" t="s">
        <v>22</v>
      </c>
      <c r="K85" t="s">
        <v>23</v>
      </c>
      <c r="L85">
        <v>1103716</v>
      </c>
      <c r="M85">
        <v>37.090000000000003</v>
      </c>
      <c r="N85">
        <v>99.58</v>
      </c>
      <c r="P85">
        <v>1</v>
      </c>
      <c r="R85" t="s">
        <v>24</v>
      </c>
      <c r="S85" t="s">
        <v>25</v>
      </c>
      <c r="T85" t="s">
        <v>25</v>
      </c>
    </row>
    <row r="86" spans="1:20" x14ac:dyDescent="0.3">
      <c r="A86">
        <v>85</v>
      </c>
      <c r="B86" t="str">
        <f>HYPERLINK("https://imapinvasives.natureserve.org/imap/services/page/Presence/1273454.html", "View")</f>
        <v>View</v>
      </c>
      <c r="C86">
        <v>1273454</v>
      </c>
      <c r="D86">
        <v>1282618</v>
      </c>
      <c r="E86" t="str">
        <f>HYPERLINK("http://imap3images.s3-website-us-east-1.amazonaws.com/1282618/p/imap_app_photo_1654175180980.jpg", "View")</f>
        <v>View</v>
      </c>
      <c r="F86" t="s">
        <v>20</v>
      </c>
      <c r="G86" t="s">
        <v>21</v>
      </c>
      <c r="H86">
        <v>1103716</v>
      </c>
      <c r="I86" t="str">
        <f t="shared" si="2"/>
        <v>View</v>
      </c>
      <c r="J86" t="s">
        <v>22</v>
      </c>
      <c r="K86" t="s">
        <v>23</v>
      </c>
      <c r="L86">
        <v>1103716</v>
      </c>
      <c r="M86">
        <v>7.7</v>
      </c>
      <c r="N86">
        <v>45.79</v>
      </c>
      <c r="P86">
        <v>1</v>
      </c>
      <c r="R86" t="s">
        <v>24</v>
      </c>
      <c r="S86" t="s">
        <v>25</v>
      </c>
      <c r="T86" t="s">
        <v>25</v>
      </c>
    </row>
    <row r="87" spans="1:20" x14ac:dyDescent="0.3">
      <c r="A87">
        <v>86</v>
      </c>
      <c r="B87" t="str">
        <f>HYPERLINK("https://imapinvasives.natureserve.org/imap/services/page/Presence/1365040.html", "View")</f>
        <v>View</v>
      </c>
      <c r="C87">
        <v>1365040</v>
      </c>
      <c r="D87">
        <v>1382979</v>
      </c>
      <c r="E87" t="str">
        <f>HYPERLINK("http://imap3images.s3-website-us-east-1.amazonaws.com/1382979/p/Photo_2.jpg", "View")</f>
        <v>View</v>
      </c>
      <c r="F87" t="s">
        <v>20</v>
      </c>
      <c r="G87" t="s">
        <v>21</v>
      </c>
      <c r="H87">
        <v>1103716</v>
      </c>
      <c r="I87" t="str">
        <f t="shared" si="2"/>
        <v>View</v>
      </c>
      <c r="J87" t="s">
        <v>22</v>
      </c>
      <c r="K87" t="s">
        <v>23</v>
      </c>
      <c r="L87">
        <v>1103716</v>
      </c>
      <c r="M87">
        <v>7.7</v>
      </c>
      <c r="N87">
        <v>36.65</v>
      </c>
      <c r="P87">
        <v>1</v>
      </c>
      <c r="R87" t="s">
        <v>24</v>
      </c>
      <c r="S87" t="s">
        <v>25</v>
      </c>
      <c r="T87" t="s">
        <v>25</v>
      </c>
    </row>
    <row r="88" spans="1:20" x14ac:dyDescent="0.3">
      <c r="A88">
        <v>87</v>
      </c>
      <c r="B88" t="str">
        <f>HYPERLINK("https://imapinvasives.natureserve.org/imap/services/page/Presence/1332057.html", "View")</f>
        <v>View</v>
      </c>
      <c r="C88">
        <v>1332057</v>
      </c>
      <c r="D88">
        <v>1345723</v>
      </c>
      <c r="E88" t="str">
        <f>HYPERLINK("http://imap3images.s3-website-us-east-1.amazonaws.com/1345723/p/imap_app_photo_1685103557607.jpg", "View")</f>
        <v>View</v>
      </c>
      <c r="F88" t="s">
        <v>20</v>
      </c>
      <c r="G88" t="s">
        <v>21</v>
      </c>
      <c r="H88">
        <v>1103716</v>
      </c>
      <c r="I88" t="str">
        <f t="shared" si="2"/>
        <v>View</v>
      </c>
      <c r="J88" t="s">
        <v>22</v>
      </c>
      <c r="K88" t="s">
        <v>23</v>
      </c>
      <c r="L88">
        <v>1103716</v>
      </c>
      <c r="M88">
        <v>7.19</v>
      </c>
      <c r="N88">
        <v>83.27</v>
      </c>
      <c r="P88">
        <v>1</v>
      </c>
      <c r="R88" t="s">
        <v>24</v>
      </c>
      <c r="S88" t="s">
        <v>25</v>
      </c>
      <c r="T88" t="s">
        <v>25</v>
      </c>
    </row>
    <row r="89" spans="1:20" x14ac:dyDescent="0.3">
      <c r="A89">
        <v>88</v>
      </c>
      <c r="B89" t="str">
        <f>HYPERLINK("https://imapinvasives.natureserve.org/imap/services/page/Presence/1285414.html", "View")</f>
        <v>View</v>
      </c>
      <c r="C89">
        <v>1285414</v>
      </c>
      <c r="D89">
        <v>1295050</v>
      </c>
      <c r="E89" t="str">
        <f>HYPERLINK("http://imap3images.s3-website-us-east-1.amazonaws.com/1295050/p/imap_app_photo_1659799467570.jpg", "View")</f>
        <v>View</v>
      </c>
      <c r="F89" t="s">
        <v>20</v>
      </c>
      <c r="G89" t="s">
        <v>21</v>
      </c>
      <c r="H89">
        <v>1103716</v>
      </c>
      <c r="I89" t="str">
        <f t="shared" si="2"/>
        <v>View</v>
      </c>
      <c r="J89" t="s">
        <v>22</v>
      </c>
      <c r="K89" t="s">
        <v>23</v>
      </c>
      <c r="L89">
        <v>1103716</v>
      </c>
      <c r="M89">
        <v>37.090000000000003</v>
      </c>
      <c r="N89">
        <v>99.78</v>
      </c>
      <c r="P89">
        <v>1</v>
      </c>
      <c r="R89" t="s">
        <v>24</v>
      </c>
      <c r="S89" t="s">
        <v>25</v>
      </c>
      <c r="T89" t="s">
        <v>25</v>
      </c>
    </row>
    <row r="90" spans="1:20" x14ac:dyDescent="0.3">
      <c r="A90">
        <v>89</v>
      </c>
      <c r="B90" t="str">
        <f>HYPERLINK("https://imapinvasives.natureserve.org/imap/services/page/Presence/1342245.html", "View")</f>
        <v>View</v>
      </c>
      <c r="C90">
        <v>1342245</v>
      </c>
      <c r="D90">
        <v>1357684</v>
      </c>
      <c r="E90" t="str">
        <f>HYPERLINK("http://imap3images.s3-website-us-east-1.amazonaws.com/1357684/p/Photo_2.jpg", "View")</f>
        <v>View</v>
      </c>
      <c r="F90" t="s">
        <v>20</v>
      </c>
      <c r="G90" t="s">
        <v>21</v>
      </c>
      <c r="H90">
        <v>1103716</v>
      </c>
      <c r="I90" t="str">
        <f>HYPERLINK("https://www.inaturalist.org/taxa/42223-Odocoileus-virginianus", "View")</f>
        <v>View</v>
      </c>
      <c r="J90" t="s">
        <v>41</v>
      </c>
      <c r="K90" t="s">
        <v>42</v>
      </c>
      <c r="L90">
        <v>42223</v>
      </c>
      <c r="M90">
        <v>22.73</v>
      </c>
      <c r="N90">
        <v>19.05</v>
      </c>
      <c r="P90">
        <v>0</v>
      </c>
      <c r="R90" t="s">
        <v>43</v>
      </c>
      <c r="S90" t="s">
        <v>34</v>
      </c>
      <c r="T90" t="s">
        <v>34</v>
      </c>
    </row>
    <row r="91" spans="1:20" x14ac:dyDescent="0.3">
      <c r="A91">
        <v>90</v>
      </c>
      <c r="B91" t="str">
        <f>HYPERLINK("https://imapinvasives.natureserve.org/imap/services/page/Presence/1355819.html", "View")</f>
        <v>View</v>
      </c>
      <c r="C91">
        <v>1355819</v>
      </c>
      <c r="D91">
        <v>1373452</v>
      </c>
      <c r="E91" t="str">
        <f>HYPERLINK("http://imap3images.s3-website-us-east-1.amazonaws.com/1373452/p/imap_app_photo_1696622482460.jpg", "View")</f>
        <v>View</v>
      </c>
      <c r="F91" t="s">
        <v>20</v>
      </c>
      <c r="G91" t="s">
        <v>21</v>
      </c>
      <c r="H91">
        <v>1103716</v>
      </c>
      <c r="I91" t="str">
        <f>HYPERLINK("https://www.inaturalist.org/taxa/1103716-Litylenchus-crenatae", "View")</f>
        <v>View</v>
      </c>
      <c r="J91" t="s">
        <v>22</v>
      </c>
      <c r="K91" t="s">
        <v>23</v>
      </c>
      <c r="L91">
        <v>1103716</v>
      </c>
      <c r="M91">
        <v>8.06</v>
      </c>
      <c r="N91">
        <v>78.55</v>
      </c>
      <c r="P91">
        <v>1</v>
      </c>
      <c r="R91" t="s">
        <v>24</v>
      </c>
      <c r="S91" t="s">
        <v>25</v>
      </c>
      <c r="T91" t="s">
        <v>25</v>
      </c>
    </row>
    <row r="92" spans="1:20" x14ac:dyDescent="0.3">
      <c r="A92">
        <v>91</v>
      </c>
      <c r="B92" t="str">
        <f>HYPERLINK("https://imapinvasives.natureserve.org/imap/services/page/Presence/1339888.html", "View")</f>
        <v>View</v>
      </c>
      <c r="C92">
        <v>1339888</v>
      </c>
      <c r="D92">
        <v>1354950</v>
      </c>
      <c r="E92" t="str">
        <f>HYPERLINK("http://imap3images.s3-website-us-east-1.amazonaws.com/1354950/p/imap_app_photo_1689103981052.jpg", "View")</f>
        <v>View</v>
      </c>
      <c r="F92" t="s">
        <v>20</v>
      </c>
      <c r="G92" t="s">
        <v>21</v>
      </c>
      <c r="H92">
        <v>1103716</v>
      </c>
      <c r="I92" t="str">
        <f>HYPERLINK("https://www.inaturalist.org/taxa/1103716-Litylenchus-crenatae", "View")</f>
        <v>View</v>
      </c>
      <c r="J92" t="s">
        <v>22</v>
      </c>
      <c r="K92" t="s">
        <v>23</v>
      </c>
      <c r="L92">
        <v>1103716</v>
      </c>
      <c r="M92">
        <v>45.38</v>
      </c>
      <c r="N92">
        <v>92.5</v>
      </c>
      <c r="P92">
        <v>1</v>
      </c>
      <c r="R92" t="s">
        <v>24</v>
      </c>
      <c r="S92" t="s">
        <v>25</v>
      </c>
      <c r="T92" t="s">
        <v>25</v>
      </c>
    </row>
    <row r="93" spans="1:20" s="3" customFormat="1" x14ac:dyDescent="0.3">
      <c r="A93" s="3">
        <v>92</v>
      </c>
      <c r="B93" s="3" t="str">
        <f>HYPERLINK("https://imapinvasives.natureserve.org/imap/services/page/Presence/1062584.html", "View")</f>
        <v>View</v>
      </c>
      <c r="C93" s="3">
        <v>1062584</v>
      </c>
      <c r="D93" s="3">
        <v>1067254</v>
      </c>
      <c r="E93" s="3" t="str">
        <f>HYPERLINK("http://imap3images.s3-website-us-east-1.amazonaws.com/1067254/p/3A101BE2-1CD2-465C-A8B1-5FFC4BB9389C.jpeg", "View")</f>
        <v>View</v>
      </c>
      <c r="F93" s="3" t="s">
        <v>20</v>
      </c>
      <c r="G93" s="3" t="s">
        <v>21</v>
      </c>
      <c r="H93" s="3">
        <v>1103716</v>
      </c>
      <c r="I93" s="3" t="str">
        <f>HYPERLINK("https://www.inaturalist.org/taxa/49202-Fagus-grandifolia", "View")</f>
        <v>View</v>
      </c>
      <c r="J93" s="3" t="s">
        <v>26</v>
      </c>
      <c r="K93" s="3" t="s">
        <v>27</v>
      </c>
      <c r="L93" s="3">
        <v>49202</v>
      </c>
      <c r="M93" s="3">
        <v>34.9</v>
      </c>
      <c r="N93" s="3">
        <v>61.58</v>
      </c>
      <c r="P93" s="3">
        <v>0</v>
      </c>
      <c r="R93" s="3" t="s">
        <v>33</v>
      </c>
      <c r="S93" s="3" t="s">
        <v>25</v>
      </c>
      <c r="T93" s="3" t="s">
        <v>25</v>
      </c>
    </row>
    <row r="94" spans="1:20" x14ac:dyDescent="0.3">
      <c r="A94">
        <v>93</v>
      </c>
      <c r="B94" t="str">
        <f>HYPERLINK("https://imapinvasives.natureserve.org/imap/services/page/Presence/1290067.html", "View")</f>
        <v>View</v>
      </c>
      <c r="C94">
        <v>1290067</v>
      </c>
      <c r="D94">
        <v>1300250</v>
      </c>
      <c r="E94" t="str">
        <f>HYPERLINK("http://imap3images.s3-website-us-east-1.amazonaws.com/1300250/p/imap_app_photo_1661701393637.jpg", "View")</f>
        <v>View</v>
      </c>
      <c r="F94" t="s">
        <v>20</v>
      </c>
      <c r="G94" t="s">
        <v>21</v>
      </c>
      <c r="H94">
        <v>1103716</v>
      </c>
      <c r="I94" t="str">
        <f>HYPERLINK("https://www.inaturalist.org/taxa/1103716-Litylenchus-crenatae", "View")</f>
        <v>View</v>
      </c>
      <c r="J94" t="s">
        <v>22</v>
      </c>
      <c r="K94" t="s">
        <v>23</v>
      </c>
      <c r="L94">
        <v>1103716</v>
      </c>
      <c r="M94">
        <v>37.090000000000003</v>
      </c>
      <c r="N94">
        <v>79.36</v>
      </c>
      <c r="P94">
        <v>1</v>
      </c>
      <c r="R94" t="s">
        <v>24</v>
      </c>
      <c r="S94" t="s">
        <v>25</v>
      </c>
      <c r="T94" t="s">
        <v>25</v>
      </c>
    </row>
    <row r="95" spans="1:20" x14ac:dyDescent="0.3">
      <c r="A95">
        <v>94</v>
      </c>
      <c r="B95" t="str">
        <f>HYPERLINK("https://imapinvasives.natureserve.org/imap/services/page/Presence/1339923.html", "View")</f>
        <v>View</v>
      </c>
      <c r="C95">
        <v>1339923</v>
      </c>
      <c r="D95">
        <v>1354991</v>
      </c>
      <c r="E95" t="str">
        <f>HYPERLINK("http://imap3images.s3-website-us-east-1.amazonaws.com/1354991/p/imap_app_photo_1689113531586.jpg", "View")</f>
        <v>View</v>
      </c>
      <c r="F95" t="s">
        <v>20</v>
      </c>
      <c r="G95" t="s">
        <v>21</v>
      </c>
      <c r="H95">
        <v>1103716</v>
      </c>
      <c r="I95" t="str">
        <f>HYPERLINK("https://www.inaturalist.org/taxa/60746-Smilax-rotundifolia", "View")</f>
        <v>View</v>
      </c>
      <c r="J95" t="s">
        <v>44</v>
      </c>
      <c r="K95" t="s">
        <v>45</v>
      </c>
      <c r="L95">
        <v>60746</v>
      </c>
      <c r="M95">
        <v>38.69</v>
      </c>
      <c r="N95">
        <v>6.65</v>
      </c>
      <c r="P95">
        <v>0</v>
      </c>
      <c r="R95" t="s">
        <v>33</v>
      </c>
      <c r="S95" t="s">
        <v>34</v>
      </c>
      <c r="T95" t="s">
        <v>34</v>
      </c>
    </row>
    <row r="96" spans="1:20" x14ac:dyDescent="0.3">
      <c r="A96">
        <v>95</v>
      </c>
      <c r="B96" t="str">
        <f>HYPERLINK("https://imapinvasives.natureserve.org/imap/services/page/Presence/1332966.html", "View")</f>
        <v>View</v>
      </c>
      <c r="C96">
        <v>1332966</v>
      </c>
      <c r="D96">
        <v>1347035</v>
      </c>
      <c r="E96" t="str">
        <f>HYPERLINK("http://imap3images.s3-website-us-east-1.amazonaws.com/1347035/p/imap_app_photo_1685815041869.jpg", "View")</f>
        <v>View</v>
      </c>
      <c r="F96" t="s">
        <v>20</v>
      </c>
      <c r="G96" t="s">
        <v>21</v>
      </c>
      <c r="H96">
        <v>1103716</v>
      </c>
      <c r="I96" t="str">
        <f>HYPERLINK("https://www.inaturalist.org/taxa/1103716-Litylenchus-crenatae", "View")</f>
        <v>View</v>
      </c>
      <c r="J96" t="s">
        <v>22</v>
      </c>
      <c r="K96" t="s">
        <v>23</v>
      </c>
      <c r="L96">
        <v>1103716</v>
      </c>
      <c r="M96">
        <v>21.77</v>
      </c>
      <c r="N96">
        <v>85.27</v>
      </c>
      <c r="P96">
        <v>1</v>
      </c>
      <c r="R96" t="s">
        <v>24</v>
      </c>
      <c r="S96" t="s">
        <v>25</v>
      </c>
      <c r="T96" t="s">
        <v>25</v>
      </c>
    </row>
    <row r="97" spans="1:20" x14ac:dyDescent="0.3">
      <c r="A97">
        <v>96</v>
      </c>
      <c r="B97" t="str">
        <f>HYPERLINK("https://imapinvasives.natureserve.org/imap/services/page/Presence/1413881.html", "View")</f>
        <v>View</v>
      </c>
      <c r="C97">
        <v>1413881</v>
      </c>
      <c r="D97">
        <v>1427380</v>
      </c>
      <c r="E97" t="str">
        <f>HYPERLINK("http://imap3images.s3-website-us-east-1.amazonaws.com/1427380/p/imap_app_photo_1719696313919.jpg", "View")</f>
        <v>View</v>
      </c>
      <c r="F97" t="s">
        <v>20</v>
      </c>
      <c r="G97" t="s">
        <v>21</v>
      </c>
      <c r="H97">
        <v>1103716</v>
      </c>
      <c r="I97" t="str">
        <f>HYPERLINK("https://www.inaturalist.org/taxa/1103716-Litylenchus-crenatae", "View")</f>
        <v>View</v>
      </c>
      <c r="J97" t="s">
        <v>22</v>
      </c>
      <c r="K97" t="s">
        <v>23</v>
      </c>
      <c r="L97">
        <v>1103716</v>
      </c>
      <c r="M97">
        <v>37.090000000000003</v>
      </c>
      <c r="N97">
        <v>34.31</v>
      </c>
      <c r="P97">
        <v>1</v>
      </c>
      <c r="R97" t="s">
        <v>24</v>
      </c>
      <c r="S97" t="s">
        <v>34</v>
      </c>
      <c r="T97" t="s">
        <v>34</v>
      </c>
    </row>
    <row r="98" spans="1:20" x14ac:dyDescent="0.3">
      <c r="A98">
        <v>97</v>
      </c>
      <c r="B98" t="str">
        <f>HYPERLINK("https://imapinvasives.natureserve.org/imap/services/page/Presence/1355637.html", "View")</f>
        <v>View</v>
      </c>
      <c r="C98">
        <v>1355637</v>
      </c>
      <c r="D98">
        <v>1373270</v>
      </c>
      <c r="E98" t="str">
        <f>HYPERLINK("http://imap3images.s3-website-us-east-1.amazonaws.com/1373270/p/imap_app_photo_1696556076729.jpg", "View")</f>
        <v>View</v>
      </c>
      <c r="F98" t="s">
        <v>20</v>
      </c>
      <c r="G98" t="s">
        <v>21</v>
      </c>
      <c r="H98">
        <v>1103716</v>
      </c>
      <c r="I98" t="str">
        <f>HYPERLINK("https://www.inaturalist.org/taxa/1103716-Litylenchus-crenatae", "View")</f>
        <v>View</v>
      </c>
      <c r="J98" t="s">
        <v>22</v>
      </c>
      <c r="K98" t="s">
        <v>23</v>
      </c>
      <c r="L98">
        <v>1103716</v>
      </c>
      <c r="M98">
        <v>37.090000000000003</v>
      </c>
      <c r="N98">
        <v>98.53</v>
      </c>
      <c r="P98">
        <v>1</v>
      </c>
      <c r="R98" t="s">
        <v>24</v>
      </c>
      <c r="S98" t="s">
        <v>25</v>
      </c>
      <c r="T98" t="s">
        <v>25</v>
      </c>
    </row>
    <row r="99" spans="1:20" x14ac:dyDescent="0.3">
      <c r="A99">
        <v>98</v>
      </c>
      <c r="B99" t="str">
        <f>HYPERLINK("https://imapinvasives.natureserve.org/imap/services/page/Presence/1434762.html", "View")</f>
        <v>View</v>
      </c>
      <c r="C99">
        <v>1434762</v>
      </c>
      <c r="D99">
        <v>1448441</v>
      </c>
      <c r="E99" t="str">
        <f>HYPERLINK("http://imap3images.s3-website-us-east-1.amazonaws.com/1448441/p/imap_app_photo_1721163619502.jpg", "View")</f>
        <v>View</v>
      </c>
      <c r="F99" t="s">
        <v>20</v>
      </c>
      <c r="G99" t="s">
        <v>21</v>
      </c>
      <c r="H99">
        <v>1103716</v>
      </c>
      <c r="I99" t="str">
        <f>HYPERLINK("https://www.inaturalist.org/taxa/1103716-Litylenchus-crenatae", "View")</f>
        <v>View</v>
      </c>
      <c r="J99" t="s">
        <v>22</v>
      </c>
      <c r="K99" t="s">
        <v>23</v>
      </c>
      <c r="L99">
        <v>1103716</v>
      </c>
      <c r="M99">
        <v>20.66</v>
      </c>
      <c r="N99">
        <v>97.3</v>
      </c>
      <c r="P99">
        <v>1</v>
      </c>
      <c r="R99" t="s">
        <v>24</v>
      </c>
      <c r="S99" t="s">
        <v>25</v>
      </c>
      <c r="T99" t="s">
        <v>25</v>
      </c>
    </row>
    <row r="100" spans="1:20" s="3" customFormat="1" x14ac:dyDescent="0.3">
      <c r="A100" s="3">
        <v>99</v>
      </c>
      <c r="B100" s="3" t="str">
        <f>HYPERLINK("https://imapinvasives.natureserve.org/imap/services/page/Presence/1280904.html", "View")</f>
        <v>View</v>
      </c>
      <c r="C100" s="3">
        <v>1280904</v>
      </c>
      <c r="D100" s="3">
        <v>1290314</v>
      </c>
      <c r="E100" s="3" t="str">
        <f>HYPERLINK("http://imap3images.s3-website-us-east-1.amazonaws.com/1290314/p/imap_app_photo_1656766456762.jpg", "View")</f>
        <v>View</v>
      </c>
      <c r="F100" s="3" t="s">
        <v>20</v>
      </c>
      <c r="G100" s="3" t="s">
        <v>21</v>
      </c>
      <c r="H100" s="3">
        <v>1103716</v>
      </c>
      <c r="I100" s="3" t="str">
        <f>HYPERLINK("https://www.inaturalist.org/taxa/49202-Fagus-grandifolia", "View")</f>
        <v>View</v>
      </c>
      <c r="J100" s="3" t="s">
        <v>26</v>
      </c>
      <c r="K100" s="3" t="s">
        <v>27</v>
      </c>
      <c r="L100" s="3">
        <v>49202</v>
      </c>
      <c r="M100" s="3">
        <v>71.89</v>
      </c>
      <c r="N100" s="3">
        <v>10.63</v>
      </c>
      <c r="P100" s="3">
        <v>0</v>
      </c>
      <c r="R100" s="3" t="s">
        <v>28</v>
      </c>
      <c r="S100" s="3" t="s">
        <v>34</v>
      </c>
      <c r="T100" s="3" t="s">
        <v>34</v>
      </c>
    </row>
    <row r="101" spans="1:20" s="3" customFormat="1" x14ac:dyDescent="0.3">
      <c r="A101" s="3">
        <v>100</v>
      </c>
      <c r="B101" s="3" t="str">
        <f>HYPERLINK("https://imapinvasives.natureserve.org/imap/services/page/Presence/1287114.html", "View")</f>
        <v>View</v>
      </c>
      <c r="C101" s="3">
        <v>1287114</v>
      </c>
      <c r="D101" s="3">
        <v>1296934</v>
      </c>
      <c r="E101" s="3" t="str">
        <f>HYPERLINK("http://imap3images.s3-website-us-east-1.amazonaws.com/1296934/p/imap_app_photo_1660649456312.jpg", "View")</f>
        <v>View</v>
      </c>
      <c r="F101" s="3" t="s">
        <v>20</v>
      </c>
      <c r="G101" s="3" t="s">
        <v>21</v>
      </c>
      <c r="H101" s="3">
        <v>1103716</v>
      </c>
      <c r="I101" s="3" t="str">
        <f>HYPERLINK("https://www.inaturalist.org/taxa/49202-Fagus-grandifolia", "View")</f>
        <v>View</v>
      </c>
      <c r="J101" s="3" t="s">
        <v>26</v>
      </c>
      <c r="K101" s="3" t="s">
        <v>27</v>
      </c>
      <c r="L101" s="3">
        <v>49202</v>
      </c>
      <c r="M101" s="3">
        <v>71.89</v>
      </c>
      <c r="N101" s="3">
        <v>53.41</v>
      </c>
      <c r="P101" s="3">
        <v>0</v>
      </c>
      <c r="R101" s="3" t="s">
        <v>33</v>
      </c>
      <c r="S101" s="3" t="s">
        <v>25</v>
      </c>
      <c r="T101" s="3" t="s">
        <v>25</v>
      </c>
    </row>
  </sheetData>
  <dataValidations count="2">
    <dataValidation type="list" allowBlank="1" showInputMessage="1" showErrorMessage="1" sqref="R1:R1048576" xr:uid="{5367B9C7-B181-45FB-B490-3D023A347807}">
      <formula1>"iMap is only correct, iNat is only correct, Both iMap and iNat correct, Both iMap and iNat incorrect, Undeterminable "</formula1>
    </dataValidation>
    <dataValidation type="list" allowBlank="1" showInputMessage="1" showErrorMessage="1" sqref="S1:T1048576" xr:uid="{C0A80868-68FF-4610-972F-30FFBA914BFA}">
      <formula1>"Good photo, Bad-Photo taken from long distance, Bad-Multiple focused species, Bad-limited contrast, Bad-Blur Photo, Bad-Dried Stems, Bad-Focused Different Species"</formula1>
    </dataValidation>
  </dataValidation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c4af2be-2bfe-41c5-83a2-1a417abf1415">
      <Terms xmlns="http://schemas.microsoft.com/office/infopath/2007/PartnerControls"/>
    </lcf76f155ced4ddcb4097134ff3c332f>
    <Notes xmlns="5c4af2be-2bfe-41c5-83a2-1a417abf1415" xsi:nil="true"/>
    <TaxCatchAll xmlns="c9e60429-3073-47a3-9bf8-27645aff9dc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69D91F7ECFA46BE3736ABC41C75CC" ma:contentTypeVersion="17" ma:contentTypeDescription="Create a new document." ma:contentTypeScope="" ma:versionID="42a6329289cebee2205db48994a0fb11">
  <xsd:schema xmlns:xsd="http://www.w3.org/2001/XMLSchema" xmlns:xs="http://www.w3.org/2001/XMLSchema" xmlns:p="http://schemas.microsoft.com/office/2006/metadata/properties" xmlns:ns2="5c4af2be-2bfe-41c5-83a2-1a417abf1415" xmlns:ns3="c9e60429-3073-47a3-9bf8-27645aff9dc1" targetNamespace="http://schemas.microsoft.com/office/2006/metadata/properties" ma:root="true" ma:fieldsID="90b5622dee7e8d31a96bb3db4f1af467" ns2:_="" ns3:_="">
    <xsd:import namespace="5c4af2be-2bfe-41c5-83a2-1a417abf1415"/>
    <xsd:import namespace="c9e60429-3073-47a3-9bf8-27645aff9d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af2be-2bfe-41c5-83a2-1a417abf14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Notes" ma:index="19" nillable="true" ma:displayName="Notes" ma:description="More information about the file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39e25b7-0a97-41c9-a156-d5f3062356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60429-3073-47a3-9bf8-27645aff9d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6314f4f-ac54-402f-a2ab-72d7e6f2634b}" ma:internalName="TaxCatchAll" ma:showField="CatchAllData" ma:web="c9e60429-3073-47a3-9bf8-27645aff9d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E2BB60-9069-4DF6-89DB-7CCFC6FC50F1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c9e60429-3073-47a3-9bf8-27645aff9dc1"/>
    <ds:schemaRef ds:uri="http://schemas.microsoft.com/office/2006/metadata/properties"/>
    <ds:schemaRef ds:uri="http://purl.org/dc/terms/"/>
    <ds:schemaRef ds:uri="5c4af2be-2bfe-41c5-83a2-1a417abf141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AA80498-3049-435C-B415-B27457F550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C889B3-BB72-455F-9A4D-73F5EAF0C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4af2be-2bfe-41c5-83a2-1a417abf1415"/>
    <ds:schemaRef ds:uri="c9e60429-3073-47a3-9bf8-27645aff9d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Taposh Mollick</cp:lastModifiedBy>
  <cp:revision/>
  <dcterms:created xsi:type="dcterms:W3CDTF">2025-01-16T23:43:50Z</dcterms:created>
  <dcterms:modified xsi:type="dcterms:W3CDTF">2025-03-06T17:06:04Z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0x010100D5C69D91F7ECFA46BE3736ABC41C75CC</vt:lpwstr>
  </property>
  <property fmtid="{D5CDD505-2E9C-101B-9397-08002B2CF9AE}" pid="3" name="MediaServiceImageTags">
    <vt:lpwstr/>
  </property>
</Properties>
</file>