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mollick\Documents\iMapInvasives_NYNHP\Dataset_11_species\"/>
    </mc:Choice>
  </mc:AlternateContent>
  <xr:revisionPtr revIDLastSave="0" documentId="13_ncr:1_{FAFE0FCB-8D23-4C54-98E3-175B97B15BFA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elected Records" sheetId="1" r:id="rId1"/>
  </sheets>
  <definedNames>
    <definedName name="_xlnm._FilterDatabase" localSheetId="0" hidden="1">'Selected Records'!$A$1:$U$101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<sst xmlns="http://schemas.openxmlformats.org/spreadsheetml/2006/main" count="643" uniqueCount="95">
  <si>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</si>
  <si>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</si>
  <si>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</si>
  <si>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</si>
  <si>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</si>
  <si>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</si>
  <si>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</si>
  <si>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</si>
  <si>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</si>
  <si>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</si>
  <si>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</si>
  <si>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</si>
  <si>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</si>
  <si>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</si>
  <si>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</si>
  <si>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</si>
  <si>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</si>
  <si>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Comments</t>
  </si>
  <si>
    <t>Alliaria petiolata</t>
  </si>
  <si>
    <t>Garlic Mustard</t>
  </si>
  <si>
    <t>Garlic mustard</t>
  </si>
  <si>
    <t>Alangium platanifolium</t>
  </si>
  <si>
    <t>Planeleaf alangium</t>
  </si>
  <si>
    <t>Two species present in this photo and neither are focused</t>
  </si>
  <si>
    <t>Salix babylonica</t>
  </si>
  <si>
    <t>Weeping willow</t>
  </si>
  <si>
    <t>Complex background not focused</t>
  </si>
  <si>
    <t>Crepidiastrum denticulatum</t>
  </si>
  <si>
    <t>Teeth-margin crepidiastrum</t>
  </si>
  <si>
    <t>Not focused</t>
  </si>
  <si>
    <t>Canarina canariensis</t>
  </si>
  <si>
    <t>Canary bellflower</t>
  </si>
  <si>
    <t>Dried stem and not focused</t>
  </si>
  <si>
    <t>Allium rosenorum</t>
  </si>
  <si>
    <t>Unknown</t>
  </si>
  <si>
    <t>Complex background</t>
  </si>
  <si>
    <t>Daphne mezereum</t>
  </si>
  <si>
    <t>Mezereon</t>
  </si>
  <si>
    <t>Dried stem is not focused and it take as input other species</t>
  </si>
  <si>
    <t>Mitchella repens</t>
  </si>
  <si>
    <t>Partridgeberry</t>
  </si>
  <si>
    <t>Wrong species (Ground ivy)</t>
  </si>
  <si>
    <t>Tamias striatus</t>
  </si>
  <si>
    <t>Eastern chipmunk</t>
  </si>
  <si>
    <t>Dried stems not focused</t>
  </si>
  <si>
    <t>Bonasa umbellus</t>
  </si>
  <si>
    <t>Ruffed grouse</t>
  </si>
  <si>
    <t>Glechoma hederacea</t>
  </si>
  <si>
    <t>Ground-ivy</t>
  </si>
  <si>
    <t>Echinocystis lobata</t>
  </si>
  <si>
    <t>Wild cucumber</t>
  </si>
  <si>
    <t>Persicaria perfoliata</t>
  </si>
  <si>
    <t>Mile-a-minute weed</t>
  </si>
  <si>
    <t>Elymus hystrix</t>
  </si>
  <si>
    <t>Bottlebrush grass</t>
  </si>
  <si>
    <t>Focused different species and not focused on the Garlic mustard</t>
  </si>
  <si>
    <t>Lapsana communis</t>
  </si>
  <si>
    <t>Nipplewort</t>
  </si>
  <si>
    <t>Berberis thunbergii</t>
  </si>
  <si>
    <t>Japanese barberry</t>
  </si>
  <si>
    <t>Solidago gigantea</t>
  </si>
  <si>
    <t>Giant goldenrod</t>
  </si>
  <si>
    <t>Dried stems and not possible to identify from this image</t>
  </si>
  <si>
    <t>Smilax rotundifolia</t>
  </si>
  <si>
    <t>Roundleaf greenbrier</t>
  </si>
  <si>
    <t>Focused target is blur</t>
  </si>
  <si>
    <t>Erigeron strigosus</t>
  </si>
  <si>
    <t>Daisy fleabane</t>
  </si>
  <si>
    <t>Focused different species from complex background</t>
  </si>
  <si>
    <t>Valeriana occidentalis</t>
  </si>
  <si>
    <t>Western valerian</t>
  </si>
  <si>
    <t>Not focused and photo was taken from long distance</t>
  </si>
  <si>
    <t>Toxicodendron radicans</t>
  </si>
  <si>
    <t>Eastern poison ivy</t>
  </si>
  <si>
    <t>Not possible to identify from this image</t>
  </si>
  <si>
    <t>Viola sororia</t>
  </si>
  <si>
    <t>Common blue violet</t>
  </si>
  <si>
    <t>Not closed view image</t>
  </si>
  <si>
    <t>Arnoglossum atriplicifolium</t>
  </si>
  <si>
    <t>Pale indian plantain</t>
  </si>
  <si>
    <t>Verification</t>
  </si>
  <si>
    <t>Photo_quality</t>
  </si>
  <si>
    <t>Notes</t>
  </si>
  <si>
    <t>Both iMap and iNat correct</t>
  </si>
  <si>
    <t>Good photo</t>
  </si>
  <si>
    <t>Bad-Photo taken from long distance</t>
  </si>
  <si>
    <t>Bad-Blur Photo</t>
  </si>
  <si>
    <t>Bad-Focused Different Species</t>
  </si>
  <si>
    <t>Bad-limited contrast</t>
  </si>
  <si>
    <t>Undeterminable</t>
  </si>
  <si>
    <t>Bad-Dried Stems</t>
  </si>
  <si>
    <t>Both iMap and iNat incorrect</t>
  </si>
  <si>
    <t>Bad-Multiple focused species</t>
  </si>
  <si>
    <t>iMap is only correct</t>
  </si>
  <si>
    <t>iNat is only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</si>
</sst>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pane ySplit="1" topLeftCell="A5" activePane="bottomLeft" state="frozen"/>
      <selection activeCell="B1" sqref="B1"/>
      <selection pane="bottomLeft" activeCell="AA19" sqref="AA19"/>
    </sheetView>
  </sheetViews>
  <sheetFormatPr defaultRowHeight="15" x14ac:dyDescent="0.25"/>
  <cols>
    <col min="18" max="18" width="24.85546875" bestFit="1" customWidth="1"/>
    <col min="19" max="19" width="12.855468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80</v>
      </c>
      <c r="S1" s="1" t="s">
        <v>81</v>
      </c>
      <c r="T1" s="1" t="s">
        <v>82</v>
      </c>
      <c r="U1" s="1" t="s">
        <v>17</v>
      </c>
    </row>
    <row r="2" spans="1:21" x14ac:dyDescent="0.25">
      <c r="A2">
        <v>1</v>
      </c>
      <c r="B2" t="str">
        <f>HYPERLINK("https://imapinvasives.natureserve.org/imap/services/page/Presence/1013891.html", "View")</f>
        <v>View</v>
      </c>
      <c r="C2">
        <v>1013891</v>
      </c>
      <c r="D2">
        <v>1014154</v>
      </c>
      <c r="E2" t="str">
        <f>HYPERLINK("http://imap3images.s3-website-us-east-1.amazonaws.com/1014154/p/imap_app_photo_1558378755487.jpg", "View")</f>
        <v>View</v>
      </c>
      <c r="F2" t="s">
        <v>18</v>
      </c>
      <c r="G2" t="s">
        <v>19</v>
      </c>
      <c r="H2">
        <v>56061</v>
      </c>
      <c r="I2" t="str">
        <f>HYPERLINK("https://www.inaturalist.org/taxa/56061-Alliaria-petiolata", "View")</f>
        <v>View</v>
      </c>
      <c r="J2" t="s">
        <v>18</v>
      </c>
      <c r="K2" t="s">
        <v>20</v>
      </c>
      <c r="L2">
        <v>56061</v>
      </c>
      <c r="M2">
        <v>18.86</v>
      </c>
      <c r="N2">
        <v>97.61</v>
      </c>
      <c r="O2">
        <v>1</v>
      </c>
      <c r="P2">
        <v>1</v>
      </c>
      <c r="R2" t="s">
        <v>83</v>
      </c>
      <c r="S2" t="s">
        <v>84</v>
      </c>
    </row>
    <row r="3" spans="1:21" x14ac:dyDescent="0.25">
      <c r="A3">
        <v>2</v>
      </c>
      <c r="B3" t="str">
        <f>HYPERLINK("https://imapinvasives.natureserve.org/imap/services/page/Presence/1013410.html", "View")</f>
        <v>View</v>
      </c>
      <c r="C3">
        <v>1013410</v>
      </c>
      <c r="D3">
        <v>1013556</v>
      </c>
      <c r="E3" t="str">
        <f>HYPERLINK("http://imap3images.s3-website-us-east-1.amazonaws.com/1013556/p/imap_app_photo_1557334581275.jpg", "View")</f>
        <v>View</v>
      </c>
      <c r="F3" t="s">
        <v>18</v>
      </c>
      <c r="G3" t="s">
        <v>19</v>
      </c>
      <c r="H3">
        <v>56061</v>
      </c>
      <c r="I3" t="str">
        <f>HYPERLINK("https://www.inaturalist.org/taxa/56061-Alliaria-petiolata", "View")</f>
        <v>View</v>
      </c>
      <c r="J3" t="s">
        <v>18</v>
      </c>
      <c r="K3" t="s">
        <v>20</v>
      </c>
      <c r="L3">
        <v>56061</v>
      </c>
      <c r="M3">
        <v>46.51</v>
      </c>
      <c r="N3">
        <v>99.78</v>
      </c>
      <c r="O3">
        <v>1</v>
      </c>
      <c r="P3">
        <v>1</v>
      </c>
      <c r="R3" t="s">
        <v>83</v>
      </c>
      <c r="S3" t="s">
        <v>84</v>
      </c>
    </row>
    <row r="4" spans="1:21" x14ac:dyDescent="0.25">
      <c r="A4">
        <v>3</v>
      </c>
      <c r="B4" t="str">
        <f>HYPERLINK("https://imapinvasives.natureserve.org/imap/services/page/Presence/532728.html", "View")</f>
        <v>View</v>
      </c>
      <c r="C4">
        <v>532728</v>
      </c>
      <c r="D4">
        <v>532728</v>
      </c>
      <c r="E4" t="str">
        <f>HYPERLINK("http://imap3images.s3-website-us-east-1.amazonaws.com/532728/p/photourl1_2018_12_15_steshope_c2f4sdym.jpg", "View")</f>
        <v>View</v>
      </c>
      <c r="F4" t="s">
        <v>18</v>
      </c>
      <c r="G4" t="s">
        <v>19</v>
      </c>
      <c r="H4">
        <v>56061</v>
      </c>
      <c r="I4" t="str">
        <f>HYPERLINK("https://www.inaturalist.org/taxa/56061-Alliaria-petiolata", "View")</f>
        <v>View</v>
      </c>
      <c r="J4" t="s">
        <v>18</v>
      </c>
      <c r="K4" t="s">
        <v>20</v>
      </c>
      <c r="L4">
        <v>56061</v>
      </c>
      <c r="M4">
        <v>42.62</v>
      </c>
      <c r="N4">
        <v>99.55</v>
      </c>
      <c r="O4">
        <v>1</v>
      </c>
      <c r="P4">
        <v>1</v>
      </c>
      <c r="R4" t="s">
        <v>83</v>
      </c>
      <c r="S4" t="s">
        <v>84</v>
      </c>
    </row>
    <row r="5" spans="1:21" x14ac:dyDescent="0.25">
      <c r="A5">
        <v>4</v>
      </c>
      <c r="B5" t="str">
        <f>HYPERLINK("https://imapinvasives.natureserve.org/imap/services/page/Presence/1332167.html", "View")</f>
        <v>View</v>
      </c>
      <c r="C5">
        <v>1332167</v>
      </c>
      <c r="D5">
        <v>1345926</v>
      </c>
      <c r="E5" t="str">
        <f>HYPERLINK("http://imap3images.s3-website-us-east-1.amazonaws.com/1345926/p/imap_app_photo_1685139083134.jpg", "View")</f>
        <v>View</v>
      </c>
      <c r="F5" t="s">
        <v>18</v>
      </c>
      <c r="G5" t="s">
        <v>19</v>
      </c>
      <c r="H5">
        <v>56061</v>
      </c>
      <c r="I5" t="str">
        <f>HYPERLINK("https://www.inaturalist.org/taxa/56061-Alliaria-petiolata", "View")</f>
        <v>View</v>
      </c>
      <c r="J5" t="s">
        <v>18</v>
      </c>
      <c r="K5" t="s">
        <v>20</v>
      </c>
      <c r="L5">
        <v>56061</v>
      </c>
      <c r="M5">
        <v>51.26</v>
      </c>
      <c r="N5">
        <v>74.63</v>
      </c>
      <c r="O5">
        <v>1</v>
      </c>
      <c r="P5">
        <v>1</v>
      </c>
      <c r="R5" t="s">
        <v>83</v>
      </c>
      <c r="S5" t="s">
        <v>84</v>
      </c>
    </row>
    <row r="6" spans="1:21" x14ac:dyDescent="0.25">
      <c r="A6">
        <v>5</v>
      </c>
      <c r="B6" t="str">
        <f>HYPERLINK("https://imapinvasives.natureserve.org/imap/services/page/Presence/1435896.html", "View")</f>
        <v>View</v>
      </c>
      <c r="C6">
        <v>1435896</v>
      </c>
      <c r="D6">
        <v>1449649</v>
      </c>
      <c r="E6" t="str">
        <f>HYPERLINK("http://imap3images.s3-website-us-east-1.amazonaws.com/1449649/p/Photo_1.jpg", "View")</f>
        <v>View</v>
      </c>
      <c r="F6" t="s">
        <v>18</v>
      </c>
      <c r="G6" t="s">
        <v>19</v>
      </c>
      <c r="H6">
        <v>56061</v>
      </c>
      <c r="I6" t="str">
        <f>HYPERLINK("https://www.inaturalist.org/taxa/56061-Alliaria-petiolata", "View")</f>
        <v>View</v>
      </c>
      <c r="J6" t="s">
        <v>18</v>
      </c>
      <c r="K6" t="s">
        <v>20</v>
      </c>
      <c r="L6">
        <v>56061</v>
      </c>
      <c r="M6">
        <v>69.930000000000007</v>
      </c>
      <c r="N6">
        <v>19.23</v>
      </c>
      <c r="O6">
        <v>1</v>
      </c>
      <c r="P6">
        <v>1</v>
      </c>
      <c r="R6" t="s">
        <v>83</v>
      </c>
      <c r="S6" t="s">
        <v>86</v>
      </c>
    </row>
    <row r="7" spans="1:21" x14ac:dyDescent="0.25">
      <c r="A7">
        <v>6</v>
      </c>
      <c r="B7" t="str">
        <f>HYPERLINK("https://imapinvasives.natureserve.org/imap/services/page/Presence/329182.html", "View")</f>
        <v>View</v>
      </c>
      <c r="C7">
        <v>329182</v>
      </c>
      <c r="D7">
        <v>329182</v>
      </c>
      <c r="E7" t="str">
        <f>HYPERLINK("http://imap3images.s3-website-us-east-1.amazonaws.com/329182/p/NY-313508U_alliaria_petiolata_normal_6an9oehb91efojdoo25.jpg", "View")</f>
        <v>View</v>
      </c>
      <c r="F7" t="s">
        <v>18</v>
      </c>
      <c r="G7" t="s">
        <v>19</v>
      </c>
      <c r="H7">
        <v>56061</v>
      </c>
      <c r="I7" t="str">
        <f>HYPERLINK("https://www.inaturalist.org/taxa/528202-Alangium-platanifolium", "View")</f>
        <v>View</v>
      </c>
      <c r="J7" t="s">
        <v>21</v>
      </c>
      <c r="K7" t="s">
        <v>22</v>
      </c>
      <c r="L7">
        <v>528202</v>
      </c>
      <c r="M7">
        <v>0</v>
      </c>
      <c r="N7">
        <v>5.12</v>
      </c>
      <c r="O7">
        <v>0</v>
      </c>
      <c r="P7">
        <v>0</v>
      </c>
      <c r="R7" t="s">
        <v>93</v>
      </c>
      <c r="S7" t="s">
        <v>87</v>
      </c>
      <c r="U7" t="s">
        <v>23</v>
      </c>
    </row>
    <row r="8" spans="1:21" x14ac:dyDescent="0.25">
      <c r="A8">
        <v>7</v>
      </c>
      <c r="B8" t="str">
        <f>HYPERLINK("https://imapinvasives.natureserve.org/imap/services/page/Presence/527088.html", "View")</f>
        <v>View</v>
      </c>
      <c r="C8">
        <v>527088</v>
      </c>
      <c r="D8">
        <v>527088</v>
      </c>
      <c r="E8" t="str">
        <f>HYPERLINK("http://imap3images.s3-website-us-east-1.amazonaws.com/527088/p/photourl1_2018_06_19_lexlill_htaia8ts.jpg", "View")</f>
        <v>View</v>
      </c>
      <c r="F8" t="s">
        <v>18</v>
      </c>
      <c r="G8" t="s">
        <v>19</v>
      </c>
      <c r="H8">
        <v>56061</v>
      </c>
      <c r="I8" t="str">
        <f t="shared" ref="I8:I21" si="0">HYPERLINK("https://www.inaturalist.org/taxa/56061-Alliaria-petiolata", "View")</f>
        <v>View</v>
      </c>
      <c r="J8" t="s">
        <v>18</v>
      </c>
      <c r="K8" t="s">
        <v>20</v>
      </c>
      <c r="L8">
        <v>56061</v>
      </c>
      <c r="M8">
        <v>61.18</v>
      </c>
      <c r="N8">
        <v>96.94</v>
      </c>
      <c r="O8">
        <v>1</v>
      </c>
      <c r="P8">
        <v>1</v>
      </c>
      <c r="R8" t="s">
        <v>83</v>
      </c>
      <c r="S8" t="s">
        <v>84</v>
      </c>
    </row>
    <row r="9" spans="1:21" x14ac:dyDescent="0.25">
      <c r="A9">
        <v>8</v>
      </c>
      <c r="B9" t="str">
        <f>HYPERLINK("https://imapinvasives.natureserve.org/imap/services/page/Presence/527393.html", "View")</f>
        <v>View</v>
      </c>
      <c r="C9">
        <v>527393</v>
      </c>
      <c r="D9">
        <v>527393</v>
      </c>
      <c r="E9" t="str">
        <f>HYPERLINK("http://imap3images.s3-website-us-east-1.amazonaws.com/527393/p/photourl1_2018_06_22_kricucolo_ae0nudzh.jpg", "View")</f>
        <v>View</v>
      </c>
      <c r="F9" t="s">
        <v>18</v>
      </c>
      <c r="G9" t="s">
        <v>19</v>
      </c>
      <c r="H9">
        <v>56061</v>
      </c>
      <c r="I9" t="str">
        <f t="shared" si="0"/>
        <v>View</v>
      </c>
      <c r="J9" t="s">
        <v>18</v>
      </c>
      <c r="K9" t="s">
        <v>20</v>
      </c>
      <c r="L9">
        <v>56061</v>
      </c>
      <c r="M9">
        <v>33.21</v>
      </c>
      <c r="N9">
        <v>28.14</v>
      </c>
      <c r="O9">
        <v>1</v>
      </c>
      <c r="P9">
        <v>1</v>
      </c>
      <c r="R9" t="s">
        <v>83</v>
      </c>
      <c r="S9" t="s">
        <v>86</v>
      </c>
    </row>
    <row r="10" spans="1:21" x14ac:dyDescent="0.25">
      <c r="A10">
        <v>9</v>
      </c>
      <c r="B10" t="str">
        <f>HYPERLINK("https://imapinvasives.natureserve.org/imap/services/page/Presence/1136956.html", "View")</f>
        <v>View</v>
      </c>
      <c r="C10">
        <v>1136956</v>
      </c>
      <c r="D10">
        <v>1143372</v>
      </c>
      <c r="E10" t="str">
        <f>HYPERLINK("http://imap3images.s3-website-us-east-1.amazonaws.com/1143372/p/imap_app_photo_1620671610233.jpg", "View")</f>
        <v>View</v>
      </c>
      <c r="F10" t="s">
        <v>18</v>
      </c>
      <c r="G10" t="s">
        <v>19</v>
      </c>
      <c r="H10">
        <v>56061</v>
      </c>
      <c r="I10" t="str">
        <f t="shared" si="0"/>
        <v>View</v>
      </c>
      <c r="J10" t="s">
        <v>18</v>
      </c>
      <c r="K10" t="s">
        <v>20</v>
      </c>
      <c r="L10">
        <v>56061</v>
      </c>
      <c r="M10">
        <v>33.659999999999997</v>
      </c>
      <c r="N10">
        <v>99.92</v>
      </c>
      <c r="O10">
        <v>1</v>
      </c>
      <c r="P10">
        <v>1</v>
      </c>
      <c r="R10" t="s">
        <v>83</v>
      </c>
      <c r="S10" t="s">
        <v>84</v>
      </c>
    </row>
    <row r="11" spans="1:21" x14ac:dyDescent="0.25">
      <c r="A11">
        <v>10</v>
      </c>
      <c r="B11" t="str">
        <f>HYPERLINK("https://imapinvasives.natureserve.org/imap/services/page/Presence/1062060.html", "View")</f>
        <v>View</v>
      </c>
      <c r="C11">
        <v>1062060</v>
      </c>
      <c r="D11">
        <v>1066624</v>
      </c>
      <c r="E11" t="str">
        <f>HYPERLINK("http://imap3images.s3-website-us-east-1.amazonaws.com/1066624/p/attachment1.jpg", "View")</f>
        <v>View</v>
      </c>
      <c r="F11" t="s">
        <v>18</v>
      </c>
      <c r="G11" t="s">
        <v>19</v>
      </c>
      <c r="H11">
        <v>56061</v>
      </c>
      <c r="I11" t="str">
        <f t="shared" si="0"/>
        <v>View</v>
      </c>
      <c r="J11" t="s">
        <v>18</v>
      </c>
      <c r="K11" t="s">
        <v>20</v>
      </c>
      <c r="L11">
        <v>56061</v>
      </c>
      <c r="M11">
        <v>22.26</v>
      </c>
      <c r="N11">
        <v>41.27</v>
      </c>
      <c r="O11">
        <v>1</v>
      </c>
      <c r="P11">
        <v>1</v>
      </c>
      <c r="R11" t="s">
        <v>83</v>
      </c>
      <c r="S11" t="s">
        <v>88</v>
      </c>
    </row>
    <row r="12" spans="1:21" x14ac:dyDescent="0.25">
      <c r="A12">
        <v>11</v>
      </c>
      <c r="B12" t="str">
        <f>HYPERLINK("https://imapinvasives.natureserve.org/imap/services/page/Presence/1013117.html", "View")</f>
        <v>View</v>
      </c>
      <c r="C12">
        <v>1013117</v>
      </c>
      <c r="D12">
        <v>1013137</v>
      </c>
      <c r="E12" t="str">
        <f>HYPERLINK("http://imap3images.s3-website-us-east-1.amazonaws.com/1013137/p/15562000510211646761311.jpg", "View")</f>
        <v>View</v>
      </c>
      <c r="F12" t="s">
        <v>18</v>
      </c>
      <c r="G12" t="s">
        <v>19</v>
      </c>
      <c r="H12">
        <v>56061</v>
      </c>
      <c r="I12" t="str">
        <f t="shared" si="0"/>
        <v>View</v>
      </c>
      <c r="J12" t="s">
        <v>18</v>
      </c>
      <c r="K12" t="s">
        <v>20</v>
      </c>
      <c r="L12">
        <v>56061</v>
      </c>
      <c r="M12">
        <v>48.89</v>
      </c>
      <c r="N12">
        <v>42.74</v>
      </c>
      <c r="O12">
        <v>1</v>
      </c>
      <c r="P12">
        <v>1</v>
      </c>
      <c r="R12" t="s">
        <v>83</v>
      </c>
      <c r="S12" t="s">
        <v>85</v>
      </c>
    </row>
    <row r="13" spans="1:21" x14ac:dyDescent="0.25">
      <c r="A13">
        <v>12</v>
      </c>
      <c r="B13" t="str">
        <f>HYPERLINK("https://imapinvasives.natureserve.org/imap/services/page/Presence/1145811.html", "View")</f>
        <v>View</v>
      </c>
      <c r="C13">
        <v>1145811</v>
      </c>
      <c r="D13">
        <v>1152353</v>
      </c>
      <c r="E13" t="str">
        <f>HYPERLINK("http://imap3images.s3-website-us-east-1.amazonaws.com/1152353/p/imap_app_photo_1623788869842.jpg", "View")</f>
        <v>View</v>
      </c>
      <c r="F13" t="s">
        <v>18</v>
      </c>
      <c r="G13" t="s">
        <v>19</v>
      </c>
      <c r="H13">
        <v>56061</v>
      </c>
      <c r="I13" t="str">
        <f t="shared" si="0"/>
        <v>View</v>
      </c>
      <c r="J13" t="s">
        <v>18</v>
      </c>
      <c r="K13" t="s">
        <v>20</v>
      </c>
      <c r="L13">
        <v>56061</v>
      </c>
      <c r="M13">
        <v>33.659999999999997</v>
      </c>
      <c r="N13">
        <v>89.66</v>
      </c>
      <c r="O13">
        <v>1</v>
      </c>
      <c r="P13">
        <v>1</v>
      </c>
      <c r="R13" t="s">
        <v>83</v>
      </c>
      <c r="S13" t="s">
        <v>84</v>
      </c>
    </row>
    <row r="14" spans="1:21" x14ac:dyDescent="0.25">
      <c r="A14">
        <v>13</v>
      </c>
      <c r="B14" t="str">
        <f>HYPERLINK("https://imapinvasives.natureserve.org/imap/services/page/Presence/1342099.html", "View")</f>
        <v>View</v>
      </c>
      <c r="C14">
        <v>1342099</v>
      </c>
      <c r="D14">
        <v>1357538</v>
      </c>
      <c r="E14" t="str">
        <f>HYPERLINK("http://imap3images.s3-website-us-east-1.amazonaws.com/1357538/p/Photo_2.jpg", "View")</f>
        <v>View</v>
      </c>
      <c r="F14" t="s">
        <v>18</v>
      </c>
      <c r="G14" t="s">
        <v>19</v>
      </c>
      <c r="H14">
        <v>56061</v>
      </c>
      <c r="I14" t="str">
        <f t="shared" si="0"/>
        <v>View</v>
      </c>
      <c r="J14" t="s">
        <v>18</v>
      </c>
      <c r="K14" t="s">
        <v>20</v>
      </c>
      <c r="L14">
        <v>56061</v>
      </c>
      <c r="M14">
        <v>46.51</v>
      </c>
      <c r="N14">
        <v>99.73</v>
      </c>
      <c r="O14">
        <v>1</v>
      </c>
      <c r="P14">
        <v>1</v>
      </c>
      <c r="R14" t="s">
        <v>83</v>
      </c>
      <c r="S14" t="s">
        <v>84</v>
      </c>
    </row>
    <row r="15" spans="1:21" x14ac:dyDescent="0.25">
      <c r="A15">
        <v>14</v>
      </c>
      <c r="B15" t="str">
        <f>HYPERLINK("https://imapinvasives.natureserve.org/imap/services/page/Presence/410833.html", "View")</f>
        <v>View</v>
      </c>
      <c r="C15">
        <v>410833</v>
      </c>
      <c r="D15">
        <v>410833</v>
      </c>
      <c r="E15" t="str">
        <f>HYPERLINK("http://imap3images.s3-website-us-east-1.amazonaws.com/410833/p/photourl1_2014_05_11_waldutcher_2ifc0035.jpg", "View")</f>
        <v>View</v>
      </c>
      <c r="F15" t="s">
        <v>18</v>
      </c>
      <c r="G15" t="s">
        <v>19</v>
      </c>
      <c r="H15">
        <v>56061</v>
      </c>
      <c r="I15" t="str">
        <f t="shared" si="0"/>
        <v>View</v>
      </c>
      <c r="J15" t="s">
        <v>18</v>
      </c>
      <c r="K15" t="s">
        <v>20</v>
      </c>
      <c r="L15">
        <v>56061</v>
      </c>
      <c r="M15">
        <v>46.53</v>
      </c>
      <c r="N15">
        <v>98.98</v>
      </c>
      <c r="O15">
        <v>1</v>
      </c>
      <c r="P15">
        <v>1</v>
      </c>
      <c r="R15" t="s">
        <v>83</v>
      </c>
      <c r="S15" t="s">
        <v>84</v>
      </c>
    </row>
    <row r="16" spans="1:21" x14ac:dyDescent="0.25">
      <c r="A16">
        <v>15</v>
      </c>
      <c r="B16" t="str">
        <f>HYPERLINK("https://imapinvasives.natureserve.org/imap/services/page/Presence/1273549.html", "View")</f>
        <v>View</v>
      </c>
      <c r="C16">
        <v>1273549</v>
      </c>
      <c r="D16">
        <v>1282738</v>
      </c>
      <c r="E16" t="str">
        <f>HYPERLINK("http://imap3images.s3-website-us-east-1.amazonaws.com/1282738/p/Photo_1.jpg", "View")</f>
        <v>View</v>
      </c>
      <c r="F16" t="s">
        <v>18</v>
      </c>
      <c r="G16" t="s">
        <v>19</v>
      </c>
      <c r="H16">
        <v>56061</v>
      </c>
      <c r="I16" t="str">
        <f t="shared" si="0"/>
        <v>View</v>
      </c>
      <c r="J16" t="s">
        <v>18</v>
      </c>
      <c r="K16" t="s">
        <v>20</v>
      </c>
      <c r="L16">
        <v>56061</v>
      </c>
      <c r="M16">
        <v>51.53</v>
      </c>
      <c r="N16">
        <v>98.79</v>
      </c>
      <c r="O16">
        <v>1</v>
      </c>
      <c r="P16">
        <v>1</v>
      </c>
      <c r="R16" t="s">
        <v>83</v>
      </c>
      <c r="S16" t="s">
        <v>84</v>
      </c>
    </row>
    <row r="17" spans="1:21" x14ac:dyDescent="0.25">
      <c r="A17">
        <v>16</v>
      </c>
      <c r="B17" t="str">
        <f>HYPERLINK("https://imapinvasives.natureserve.org/imap/services/page/Presence/1341548.html", "View")</f>
        <v>View</v>
      </c>
      <c r="C17">
        <v>1341548</v>
      </c>
      <c r="D17">
        <v>1356870</v>
      </c>
      <c r="E17" t="str">
        <f>HYPERLINK("http://imap3images.s3-website-us-east-1.amazonaws.com/1356870/p/imap_app_photo_1689954079305.jpg", "View")</f>
        <v>View</v>
      </c>
      <c r="F17" t="s">
        <v>18</v>
      </c>
      <c r="G17" t="s">
        <v>19</v>
      </c>
      <c r="H17">
        <v>56061</v>
      </c>
      <c r="I17" t="str">
        <f t="shared" si="0"/>
        <v>View</v>
      </c>
      <c r="J17" t="s">
        <v>18</v>
      </c>
      <c r="K17" t="s">
        <v>20</v>
      </c>
      <c r="L17">
        <v>56061</v>
      </c>
      <c r="M17">
        <v>26.63</v>
      </c>
      <c r="N17">
        <v>75.180000000000007</v>
      </c>
      <c r="O17">
        <v>1</v>
      </c>
      <c r="P17">
        <v>1</v>
      </c>
      <c r="R17" t="s">
        <v>83</v>
      </c>
      <c r="S17" t="s">
        <v>84</v>
      </c>
    </row>
    <row r="18" spans="1:21" x14ac:dyDescent="0.25">
      <c r="A18">
        <v>17</v>
      </c>
      <c r="B18" t="str">
        <f>HYPERLINK("https://imapinvasives.natureserve.org/imap/services/page/Presence/492341.html", "View")</f>
        <v>View</v>
      </c>
      <c r="C18">
        <v>492341</v>
      </c>
      <c r="D18">
        <v>492341</v>
      </c>
      <c r="E18" t="str">
        <f>HYPERLINK("http://imap3images.s3-website-us-east-1.amazonaws.com/492341/p/photourl1_2016_06_27_julgrinstead_2y077180.jpg", "View")</f>
        <v>View</v>
      </c>
      <c r="F18" t="s">
        <v>18</v>
      </c>
      <c r="G18" t="s">
        <v>19</v>
      </c>
      <c r="H18">
        <v>56061</v>
      </c>
      <c r="I18" t="str">
        <f t="shared" si="0"/>
        <v>View</v>
      </c>
      <c r="J18" t="s">
        <v>18</v>
      </c>
      <c r="K18" t="s">
        <v>20</v>
      </c>
      <c r="L18">
        <v>56061</v>
      </c>
      <c r="M18">
        <v>42.62</v>
      </c>
      <c r="N18">
        <v>87</v>
      </c>
      <c r="O18">
        <v>1</v>
      </c>
      <c r="P18">
        <v>1</v>
      </c>
      <c r="R18" t="s">
        <v>83</v>
      </c>
      <c r="S18" t="s">
        <v>84</v>
      </c>
    </row>
    <row r="19" spans="1:21" x14ac:dyDescent="0.25">
      <c r="A19">
        <v>18</v>
      </c>
      <c r="B19" t="str">
        <f>HYPERLINK("https://imapinvasives.natureserve.org/imap/services/page/Presence/1273814.html", "View")</f>
        <v>View</v>
      </c>
      <c r="C19">
        <v>1273814</v>
      </c>
      <c r="D19">
        <v>1283016</v>
      </c>
      <c r="E19" t="str">
        <f>HYPERLINK("http://imap3images.s3-website-us-east-1.amazonaws.com/1283016/p/imap_app_photo_1654786153553.jpg", "View")</f>
        <v>View</v>
      </c>
      <c r="F19" t="s">
        <v>18</v>
      </c>
      <c r="G19" t="s">
        <v>19</v>
      </c>
      <c r="H19">
        <v>56061</v>
      </c>
      <c r="I19" t="str">
        <f t="shared" si="0"/>
        <v>View</v>
      </c>
      <c r="J19" t="s">
        <v>18</v>
      </c>
      <c r="K19" t="s">
        <v>20</v>
      </c>
      <c r="L19">
        <v>56061</v>
      </c>
      <c r="M19">
        <v>18.86</v>
      </c>
      <c r="N19">
        <v>99.65</v>
      </c>
      <c r="O19">
        <v>1</v>
      </c>
      <c r="P19">
        <v>1</v>
      </c>
      <c r="R19" t="s">
        <v>83</v>
      </c>
      <c r="S19" t="s">
        <v>84</v>
      </c>
    </row>
    <row r="20" spans="1:21" x14ac:dyDescent="0.25">
      <c r="A20">
        <v>19</v>
      </c>
      <c r="B20" t="str">
        <f>HYPERLINK("https://imapinvasives.natureserve.org/imap/services/page/Presence/444250.html", "View")</f>
        <v>View</v>
      </c>
      <c r="C20">
        <v>444250</v>
      </c>
      <c r="D20">
        <v>444250</v>
      </c>
      <c r="E20" t="str">
        <f>HYPERLINK("http://imap3images.s3-website-us-east-1.amazonaws.com/444250/p/photourl1_2015_06_11_kriharwick_r7vsy849.jpg", "View")</f>
        <v>View</v>
      </c>
      <c r="F20" t="s">
        <v>18</v>
      </c>
      <c r="G20" t="s">
        <v>19</v>
      </c>
      <c r="H20">
        <v>56061</v>
      </c>
      <c r="I20" t="str">
        <f t="shared" si="0"/>
        <v>View</v>
      </c>
      <c r="J20" t="s">
        <v>18</v>
      </c>
      <c r="K20" t="s">
        <v>20</v>
      </c>
      <c r="L20">
        <v>56061</v>
      </c>
      <c r="M20">
        <v>33.21</v>
      </c>
      <c r="N20">
        <v>97.27</v>
      </c>
      <c r="O20">
        <v>1</v>
      </c>
      <c r="P20">
        <v>1</v>
      </c>
      <c r="R20" t="s">
        <v>83</v>
      </c>
      <c r="S20" t="s">
        <v>84</v>
      </c>
    </row>
    <row r="21" spans="1:21" x14ac:dyDescent="0.25">
      <c r="A21">
        <v>20</v>
      </c>
      <c r="B21" t="str">
        <f>HYPERLINK("https://imapinvasives.natureserve.org/imap/services/page/Presence/528593.html", "View")</f>
        <v>View</v>
      </c>
      <c r="C21">
        <v>528593</v>
      </c>
      <c r="D21">
        <v>528593</v>
      </c>
      <c r="E21" t="str">
        <f>HYPERLINK("http://imap3images.s3-website-us-east-1.amazonaws.com/528593/p/photourl1_2018_07_16_spebarrett_kq3b38qx.jpg", "View")</f>
        <v>View</v>
      </c>
      <c r="F21" t="s">
        <v>18</v>
      </c>
      <c r="G21" t="s">
        <v>19</v>
      </c>
      <c r="H21">
        <v>56061</v>
      </c>
      <c r="I21" t="str">
        <f t="shared" si="0"/>
        <v>View</v>
      </c>
      <c r="J21" t="s">
        <v>18</v>
      </c>
      <c r="K21" t="s">
        <v>20</v>
      </c>
      <c r="L21">
        <v>56061</v>
      </c>
      <c r="M21">
        <v>85.02</v>
      </c>
      <c r="N21">
        <v>58.86</v>
      </c>
      <c r="O21">
        <v>1</v>
      </c>
      <c r="P21">
        <v>1</v>
      </c>
      <c r="R21" t="s">
        <v>83</v>
      </c>
      <c r="S21" t="s">
        <v>85</v>
      </c>
    </row>
    <row r="22" spans="1:21" x14ac:dyDescent="0.25">
      <c r="A22">
        <v>21</v>
      </c>
      <c r="B22" t="str">
        <f>HYPERLINK("https://imapinvasives.natureserve.org/imap/services/page/Presence/1056729.html", "View")</f>
        <v>View</v>
      </c>
      <c r="C22">
        <v>1056729</v>
      </c>
      <c r="D22">
        <v>1061222</v>
      </c>
      <c r="E22" t="str">
        <f>HYPERLINK("http://imap3images.s3-website-us-east-1.amazonaws.com/1061222/p/attachment1.jpg", "View")</f>
        <v>View</v>
      </c>
      <c r="F22" t="s">
        <v>18</v>
      </c>
      <c r="G22" t="s">
        <v>19</v>
      </c>
      <c r="H22">
        <v>56061</v>
      </c>
      <c r="I22" t="str">
        <f>HYPERLINK("https://www.inaturalist.org/taxa/58316-Salix-babylonica", "View")</f>
        <v>View</v>
      </c>
      <c r="J22" t="s">
        <v>24</v>
      </c>
      <c r="K22" t="s">
        <v>25</v>
      </c>
      <c r="L22">
        <v>58316</v>
      </c>
      <c r="M22">
        <v>4.26</v>
      </c>
      <c r="N22">
        <v>5.63</v>
      </c>
      <c r="O22">
        <v>0</v>
      </c>
      <c r="P22">
        <v>0</v>
      </c>
      <c r="R22" t="s">
        <v>89</v>
      </c>
      <c r="S22" t="s">
        <v>85</v>
      </c>
      <c r="U22" t="s">
        <v>26</v>
      </c>
    </row>
    <row r="23" spans="1:21" x14ac:dyDescent="0.25">
      <c r="A23">
        <v>22</v>
      </c>
      <c r="B23" t="str">
        <f>HYPERLINK("https://imapinvasives.natureserve.org/imap/services/page/Presence/525472.html", "View")</f>
        <v>View</v>
      </c>
      <c r="C23">
        <v>525472</v>
      </c>
      <c r="D23">
        <v>525472</v>
      </c>
      <c r="E23" t="str">
        <f>HYPERLINK("http://imap3images.s3-website-us-east-1.amazonaws.com/525472/p/photourl1_2018_05_11_krigilbert_j19x5yha.jpg", "View")</f>
        <v>View</v>
      </c>
      <c r="F23" t="s">
        <v>18</v>
      </c>
      <c r="G23" t="s">
        <v>19</v>
      </c>
      <c r="H23">
        <v>56061</v>
      </c>
      <c r="I23" t="str">
        <f>HYPERLINK("https://www.inaturalist.org/taxa/480254-Crepidiastrum-denticulatum", "View")</f>
        <v>View</v>
      </c>
      <c r="J23" t="s">
        <v>27</v>
      </c>
      <c r="K23" t="s">
        <v>28</v>
      </c>
      <c r="L23">
        <v>480254</v>
      </c>
      <c r="M23">
        <v>0</v>
      </c>
      <c r="N23">
        <v>11.92</v>
      </c>
      <c r="O23">
        <v>1</v>
      </c>
      <c r="P23">
        <v>0</v>
      </c>
      <c r="R23" t="s">
        <v>93</v>
      </c>
      <c r="S23" t="s">
        <v>86</v>
      </c>
      <c r="U23" t="s">
        <v>29</v>
      </c>
    </row>
    <row r="24" spans="1:21" x14ac:dyDescent="0.25">
      <c r="A24">
        <v>23</v>
      </c>
      <c r="B24" t="str">
        <f>HYPERLINK("https://imapinvasives.natureserve.org/imap/services/page/Presence/1054835.html", "View")</f>
        <v>View</v>
      </c>
      <c r="C24">
        <v>1054835</v>
      </c>
      <c r="D24">
        <v>1059175</v>
      </c>
      <c r="E24" t="str">
        <f>HYPERLINK("http://imap3images.s3-website-us-east-1.amazonaws.com/1059175/p/imap_app_photo_1594227591919.jpg", "View")</f>
        <v>View</v>
      </c>
      <c r="F24" t="s">
        <v>18</v>
      </c>
      <c r="G24" t="s">
        <v>19</v>
      </c>
      <c r="H24">
        <v>56061</v>
      </c>
      <c r="I24" t="str">
        <f t="shared" ref="I24:I33" si="1">HYPERLINK("https://www.inaturalist.org/taxa/56061-Alliaria-petiolata", "View")</f>
        <v>View</v>
      </c>
      <c r="J24" t="s">
        <v>18</v>
      </c>
      <c r="K24" t="s">
        <v>20</v>
      </c>
      <c r="L24">
        <v>56061</v>
      </c>
      <c r="M24">
        <v>43.48</v>
      </c>
      <c r="N24">
        <v>64.22</v>
      </c>
      <c r="O24">
        <v>1</v>
      </c>
      <c r="P24">
        <v>1</v>
      </c>
      <c r="R24" t="s">
        <v>83</v>
      </c>
      <c r="S24" t="s">
        <v>90</v>
      </c>
    </row>
    <row r="25" spans="1:21" x14ac:dyDescent="0.25">
      <c r="A25">
        <v>24</v>
      </c>
      <c r="B25" t="str">
        <f>HYPERLINK("https://imapinvasives.natureserve.org/imap/services/page/Presence/1273835.html", "View")</f>
        <v>View</v>
      </c>
      <c r="C25">
        <v>1273835</v>
      </c>
      <c r="D25">
        <v>1283037</v>
      </c>
      <c r="E25" t="str">
        <f>HYPERLINK("http://imap3images.s3-website-us-east-1.amazonaws.com/1283037/p/imap_app_photo_1654786580240.jpg", "View")</f>
        <v>View</v>
      </c>
      <c r="F25" t="s">
        <v>18</v>
      </c>
      <c r="G25" t="s">
        <v>19</v>
      </c>
      <c r="H25">
        <v>56061</v>
      </c>
      <c r="I25" t="str">
        <f t="shared" si="1"/>
        <v>View</v>
      </c>
      <c r="J25" t="s">
        <v>18</v>
      </c>
      <c r="K25" t="s">
        <v>20</v>
      </c>
      <c r="L25">
        <v>56061</v>
      </c>
      <c r="M25">
        <v>19.04</v>
      </c>
      <c r="N25">
        <v>98.09</v>
      </c>
      <c r="O25">
        <v>1</v>
      </c>
      <c r="P25">
        <v>1</v>
      </c>
      <c r="R25" t="s">
        <v>83</v>
      </c>
      <c r="S25" t="s">
        <v>84</v>
      </c>
    </row>
    <row r="26" spans="1:21" x14ac:dyDescent="0.25">
      <c r="A26">
        <v>25</v>
      </c>
      <c r="B26" t="str">
        <f>HYPERLINK("https://imapinvasives.natureserve.org/imap/services/page/Presence/1343853.html", "View")</f>
        <v>View</v>
      </c>
      <c r="C26">
        <v>1343853</v>
      </c>
      <c r="D26">
        <v>1359483</v>
      </c>
      <c r="E26" t="str">
        <f>HYPERLINK("http://imap3images.s3-website-us-east-1.amazonaws.com/1359483/p/Photo_1.jpg", "View")</f>
        <v>View</v>
      </c>
      <c r="F26" t="s">
        <v>18</v>
      </c>
      <c r="G26" t="s">
        <v>19</v>
      </c>
      <c r="H26">
        <v>56061</v>
      </c>
      <c r="I26" t="str">
        <f t="shared" si="1"/>
        <v>View</v>
      </c>
      <c r="J26" t="s">
        <v>18</v>
      </c>
      <c r="K26" t="s">
        <v>20</v>
      </c>
      <c r="L26">
        <v>56061</v>
      </c>
      <c r="M26">
        <v>46.51</v>
      </c>
      <c r="N26">
        <v>28.91</v>
      </c>
      <c r="O26">
        <v>1</v>
      </c>
      <c r="P26">
        <v>1</v>
      </c>
      <c r="R26" t="s">
        <v>83</v>
      </c>
      <c r="S26" t="s">
        <v>88</v>
      </c>
    </row>
    <row r="27" spans="1:21" x14ac:dyDescent="0.25">
      <c r="A27">
        <v>26</v>
      </c>
      <c r="B27" t="str">
        <f>HYPERLINK("https://imapinvasives.natureserve.org/imap/services/page/Presence/1062033.html", "View")</f>
        <v>View</v>
      </c>
      <c r="C27">
        <v>1062033</v>
      </c>
      <c r="D27">
        <v>1066595</v>
      </c>
      <c r="E27" t="str">
        <f>HYPERLINK("http://imap3images.s3-website-us-east-1.amazonaws.com/1066595/p/attachment1.jpg", "View")</f>
        <v>View</v>
      </c>
      <c r="F27" t="s">
        <v>18</v>
      </c>
      <c r="G27" t="s">
        <v>19</v>
      </c>
      <c r="H27">
        <v>56061</v>
      </c>
      <c r="I27" t="str">
        <f t="shared" si="1"/>
        <v>View</v>
      </c>
      <c r="J27" t="s">
        <v>18</v>
      </c>
      <c r="K27" t="s">
        <v>20</v>
      </c>
      <c r="L27">
        <v>56061</v>
      </c>
      <c r="M27">
        <v>22.26</v>
      </c>
      <c r="N27">
        <v>13.25</v>
      </c>
      <c r="O27">
        <v>1</v>
      </c>
      <c r="P27">
        <v>1</v>
      </c>
      <c r="R27" t="s">
        <v>83</v>
      </c>
      <c r="S27" t="s">
        <v>88</v>
      </c>
    </row>
    <row r="28" spans="1:21" x14ac:dyDescent="0.25">
      <c r="A28">
        <v>27</v>
      </c>
      <c r="B28" t="str">
        <f>HYPERLINK("https://imapinvasives.natureserve.org/imap/services/page/Presence/1297417.html", "View")</f>
        <v>View</v>
      </c>
      <c r="C28">
        <v>1297417</v>
      </c>
      <c r="D28">
        <v>1307654</v>
      </c>
      <c r="E28" t="str">
        <f>HYPERLINK("http://imap3images.s3-website-us-east-1.amazonaws.com/1307654/p/imap_app_photo_1664199774539.jpg", "View")</f>
        <v>View</v>
      </c>
      <c r="F28" t="s">
        <v>18</v>
      </c>
      <c r="G28" t="s">
        <v>19</v>
      </c>
      <c r="H28">
        <v>56061</v>
      </c>
      <c r="I28" t="str">
        <f t="shared" si="1"/>
        <v>View</v>
      </c>
      <c r="J28" t="s">
        <v>18</v>
      </c>
      <c r="K28" t="s">
        <v>20</v>
      </c>
      <c r="L28">
        <v>56061</v>
      </c>
      <c r="M28">
        <v>38.26</v>
      </c>
      <c r="N28">
        <v>99.54</v>
      </c>
      <c r="O28">
        <v>1</v>
      </c>
      <c r="P28">
        <v>1</v>
      </c>
      <c r="R28" t="s">
        <v>83</v>
      </c>
      <c r="S28" t="s">
        <v>84</v>
      </c>
    </row>
    <row r="29" spans="1:21" x14ac:dyDescent="0.25">
      <c r="A29">
        <v>28</v>
      </c>
      <c r="B29" t="str">
        <f>HYPERLINK("https://imapinvasives.natureserve.org/imap/services/page/Presence/511068.html", "View")</f>
        <v>View</v>
      </c>
      <c r="C29">
        <v>511068</v>
      </c>
      <c r="D29">
        <v>511068</v>
      </c>
      <c r="E29" t="str">
        <f>HYPERLINK("http://imap3images.s3-website-us-east-1.amazonaws.com/511068/p/photourl2_2017_05_22_bilbrown_x5a4cqzp.jpg", "View")</f>
        <v>View</v>
      </c>
      <c r="F29" t="s">
        <v>18</v>
      </c>
      <c r="G29" t="s">
        <v>19</v>
      </c>
      <c r="H29">
        <v>56061</v>
      </c>
      <c r="I29" t="str">
        <f t="shared" si="1"/>
        <v>View</v>
      </c>
      <c r="J29" t="s">
        <v>18</v>
      </c>
      <c r="K29" t="s">
        <v>20</v>
      </c>
      <c r="L29">
        <v>56061</v>
      </c>
      <c r="M29">
        <v>33.380000000000003</v>
      </c>
      <c r="N29">
        <v>60.05</v>
      </c>
      <c r="O29">
        <v>1</v>
      </c>
      <c r="P29">
        <v>1</v>
      </c>
      <c r="R29" t="s">
        <v>83</v>
      </c>
      <c r="S29" t="s">
        <v>85</v>
      </c>
    </row>
    <row r="30" spans="1:21" x14ac:dyDescent="0.25">
      <c r="A30">
        <v>29</v>
      </c>
      <c r="B30" t="str">
        <f>HYPERLINK("https://imapinvasives.natureserve.org/imap/services/page/Presence/1297426.html", "View")</f>
        <v>View</v>
      </c>
      <c r="C30">
        <v>1297426</v>
      </c>
      <c r="D30">
        <v>1307663</v>
      </c>
      <c r="E30" t="str">
        <f>HYPERLINK("http://imap3images.s3-website-us-east-1.amazonaws.com/1307663/p/imap_app_photo_1664200545884.jpg", "View")</f>
        <v>View</v>
      </c>
      <c r="F30" t="s">
        <v>18</v>
      </c>
      <c r="G30" t="s">
        <v>19</v>
      </c>
      <c r="H30">
        <v>56061</v>
      </c>
      <c r="I30" t="str">
        <f t="shared" si="1"/>
        <v>View</v>
      </c>
      <c r="J30" t="s">
        <v>18</v>
      </c>
      <c r="K30" t="s">
        <v>20</v>
      </c>
      <c r="L30">
        <v>56061</v>
      </c>
      <c r="M30">
        <v>38.26</v>
      </c>
      <c r="N30">
        <v>99.67</v>
      </c>
      <c r="O30">
        <v>1</v>
      </c>
      <c r="P30">
        <v>1</v>
      </c>
      <c r="R30" t="s">
        <v>83</v>
      </c>
      <c r="S30" t="s">
        <v>84</v>
      </c>
    </row>
    <row r="31" spans="1:21" x14ac:dyDescent="0.25">
      <c r="A31">
        <v>30</v>
      </c>
      <c r="B31" t="str">
        <f>HYPERLINK("https://imapinvasives.natureserve.org/imap/services/page/Presence/449461.html", "View")</f>
        <v>View</v>
      </c>
      <c r="C31">
        <v>449461</v>
      </c>
      <c r="D31">
        <v>449461</v>
      </c>
      <c r="E31" t="str">
        <f>HYPERLINK("http://imap3images.s3-website-us-east-1.amazonaws.com/449461/p/photourl1_2015_07_10_jendean_4_zn8dqbk9.jpg", "View")</f>
        <v>View</v>
      </c>
      <c r="F31" t="s">
        <v>18</v>
      </c>
      <c r="G31" t="s">
        <v>19</v>
      </c>
      <c r="H31">
        <v>56061</v>
      </c>
      <c r="I31" t="str">
        <f t="shared" si="1"/>
        <v>View</v>
      </c>
      <c r="J31" t="s">
        <v>18</v>
      </c>
      <c r="K31" t="s">
        <v>20</v>
      </c>
      <c r="L31">
        <v>56061</v>
      </c>
      <c r="M31">
        <v>79.38</v>
      </c>
      <c r="N31">
        <v>98.7</v>
      </c>
      <c r="O31">
        <v>1</v>
      </c>
      <c r="P31">
        <v>1</v>
      </c>
      <c r="R31" t="s">
        <v>83</v>
      </c>
      <c r="S31" t="s">
        <v>84</v>
      </c>
    </row>
    <row r="32" spans="1:21" x14ac:dyDescent="0.25">
      <c r="A32">
        <v>31</v>
      </c>
      <c r="B32" t="str">
        <f>HYPERLINK("https://imapinvasives.natureserve.org/imap/services/page/Presence/1348201.html", "View")</f>
        <v>View</v>
      </c>
      <c r="C32">
        <v>1348201</v>
      </c>
      <c r="D32">
        <v>1364910</v>
      </c>
      <c r="E32" t="str">
        <f>HYPERLINK("http://imap3images.s3-website-us-east-1.amazonaws.com/1364910/p/imap_app_photo_1692011701694.jpg", "View")</f>
        <v>View</v>
      </c>
      <c r="F32" t="s">
        <v>18</v>
      </c>
      <c r="G32" t="s">
        <v>19</v>
      </c>
      <c r="H32">
        <v>56061</v>
      </c>
      <c r="I32" t="str">
        <f t="shared" si="1"/>
        <v>View</v>
      </c>
      <c r="J32" t="s">
        <v>18</v>
      </c>
      <c r="K32" t="s">
        <v>20</v>
      </c>
      <c r="L32">
        <v>56061</v>
      </c>
      <c r="M32">
        <v>30.87</v>
      </c>
      <c r="N32">
        <v>98.25</v>
      </c>
      <c r="O32">
        <v>1</v>
      </c>
      <c r="P32">
        <v>1</v>
      </c>
      <c r="R32" t="s">
        <v>83</v>
      </c>
      <c r="S32" t="s">
        <v>84</v>
      </c>
    </row>
    <row r="33" spans="1:21" x14ac:dyDescent="0.25">
      <c r="A33">
        <v>32</v>
      </c>
      <c r="B33" t="str">
        <f>HYPERLINK("https://imapinvasives.natureserve.org/imap/services/page/Presence/510015.html", "View")</f>
        <v>View</v>
      </c>
      <c r="C33">
        <v>510015</v>
      </c>
      <c r="D33">
        <v>510015</v>
      </c>
      <c r="E33" t="str">
        <f>HYPERLINK("http://imap3images.s3-website-us-east-1.amazonaws.com/510015/p/photourl1_2016_12_30_collutz_admin_klt46n2j.jpg", "View")</f>
        <v>View</v>
      </c>
      <c r="F33" t="s">
        <v>18</v>
      </c>
      <c r="G33" t="s">
        <v>19</v>
      </c>
      <c r="H33">
        <v>56061</v>
      </c>
      <c r="I33" t="str">
        <f t="shared" si="1"/>
        <v>View</v>
      </c>
      <c r="J33" t="s">
        <v>18</v>
      </c>
      <c r="K33" t="s">
        <v>20</v>
      </c>
      <c r="L33">
        <v>56061</v>
      </c>
      <c r="M33">
        <v>61.18</v>
      </c>
      <c r="N33">
        <v>99.86</v>
      </c>
      <c r="O33">
        <v>1</v>
      </c>
      <c r="P33">
        <v>1</v>
      </c>
      <c r="R33" t="s">
        <v>83</v>
      </c>
      <c r="S33" t="s">
        <v>84</v>
      </c>
    </row>
    <row r="34" spans="1:21" x14ac:dyDescent="0.25">
      <c r="A34">
        <v>33</v>
      </c>
      <c r="B34" t="str">
        <f>HYPERLINK("https://imapinvasives.natureserve.org/imap/services/page/Presence/449411.html", "View")</f>
        <v>View</v>
      </c>
      <c r="C34">
        <v>449411</v>
      </c>
      <c r="D34">
        <v>449411</v>
      </c>
      <c r="E34" t="str">
        <f>HYPERLINK("http://imap3images.s3-website-us-east-1.amazonaws.com/449411/p/photourl1_2015_08_14_matbilz_ce22mu2v.jpg", "View")</f>
        <v>View</v>
      </c>
      <c r="F34" t="s">
        <v>18</v>
      </c>
      <c r="G34" t="s">
        <v>19</v>
      </c>
      <c r="H34">
        <v>56061</v>
      </c>
      <c r="I34" t="str">
        <f>HYPERLINK("https://www.inaturalist.org/taxa/467283-Canarina-canariensis", "View")</f>
        <v>View</v>
      </c>
      <c r="J34" t="s">
        <v>30</v>
      </c>
      <c r="K34" t="s">
        <v>31</v>
      </c>
      <c r="L34">
        <v>467283</v>
      </c>
      <c r="M34">
        <v>0.01</v>
      </c>
      <c r="N34">
        <v>9.32</v>
      </c>
      <c r="O34">
        <v>0</v>
      </c>
      <c r="P34">
        <v>0</v>
      </c>
      <c r="R34" t="s">
        <v>89</v>
      </c>
      <c r="S34" t="s">
        <v>90</v>
      </c>
      <c r="U34" t="s">
        <v>32</v>
      </c>
    </row>
    <row r="35" spans="1:21" x14ac:dyDescent="0.25">
      <c r="A35">
        <v>34</v>
      </c>
      <c r="B35" t="str">
        <f>HYPERLINK("https://imapinvasives.natureserve.org/imap/services/page/Presence/1045458.html", "View")</f>
        <v>View</v>
      </c>
      <c r="C35">
        <v>1045458</v>
      </c>
      <c r="D35">
        <v>1049369</v>
      </c>
      <c r="E35" t="str">
        <f>HYPERLINK("http://imap3images.s3-website-us-east-1.amazonaws.com/1049369/p/imap_app_photo_1588201629766.jpg", "View")</f>
        <v>View</v>
      </c>
      <c r="F35" t="s">
        <v>18</v>
      </c>
      <c r="G35" t="s">
        <v>19</v>
      </c>
      <c r="H35">
        <v>56061</v>
      </c>
      <c r="I35" t="str">
        <f>HYPERLINK("https://www.inaturalist.org/taxa/56061-Alliaria-petiolata", "View")</f>
        <v>View</v>
      </c>
      <c r="J35" t="s">
        <v>18</v>
      </c>
      <c r="K35" t="s">
        <v>20</v>
      </c>
      <c r="L35">
        <v>56061</v>
      </c>
      <c r="M35">
        <v>39.44</v>
      </c>
      <c r="N35">
        <v>99.39</v>
      </c>
      <c r="O35">
        <v>1</v>
      </c>
      <c r="P35">
        <v>1</v>
      </c>
      <c r="R35" t="s">
        <v>83</v>
      </c>
      <c r="S35" t="s">
        <v>84</v>
      </c>
    </row>
    <row r="36" spans="1:21" x14ac:dyDescent="0.25">
      <c r="A36">
        <v>35</v>
      </c>
      <c r="B36" t="str">
        <f>HYPERLINK("https://imapinvasives.natureserve.org/imap/services/page/Presence/1331954.html", "View")</f>
        <v>View</v>
      </c>
      <c r="C36">
        <v>1331954</v>
      </c>
      <c r="D36">
        <v>1345555</v>
      </c>
      <c r="E36" t="str">
        <f>HYPERLINK("http://imap3images.s3-website-us-east-1.amazonaws.com/1345555/p/imap_app_photo_1684966566775.jpg", "View")</f>
        <v>View</v>
      </c>
      <c r="F36" t="s">
        <v>18</v>
      </c>
      <c r="G36" t="s">
        <v>19</v>
      </c>
      <c r="H36">
        <v>56061</v>
      </c>
      <c r="I36" t="str">
        <f>HYPERLINK("https://www.inaturalist.org/taxa/56061-Alliaria-petiolata", "View")</f>
        <v>View</v>
      </c>
      <c r="J36" t="s">
        <v>18</v>
      </c>
      <c r="K36" t="s">
        <v>20</v>
      </c>
      <c r="L36">
        <v>56061</v>
      </c>
      <c r="M36">
        <v>46.53</v>
      </c>
      <c r="N36">
        <v>86.94</v>
      </c>
      <c r="O36">
        <v>1</v>
      </c>
      <c r="P36">
        <v>1</v>
      </c>
      <c r="R36" t="s">
        <v>83</v>
      </c>
      <c r="S36" t="s">
        <v>86</v>
      </c>
    </row>
    <row r="37" spans="1:21" x14ac:dyDescent="0.25">
      <c r="A37">
        <v>36</v>
      </c>
      <c r="B37" t="str">
        <f>HYPERLINK("https://imapinvasives.natureserve.org/imap/services/page/Presence/1139577.html", "View")</f>
        <v>View</v>
      </c>
      <c r="C37">
        <v>1139577</v>
      </c>
      <c r="D37">
        <v>1146078</v>
      </c>
      <c r="E37" t="str">
        <f>HYPERLINK("http://imap3images.s3-website-us-east-1.amazonaws.com/1146078/p/imap_app_photo_1622477544703.jpg", "View")</f>
        <v>View</v>
      </c>
      <c r="F37" t="s">
        <v>18</v>
      </c>
      <c r="G37" t="s">
        <v>19</v>
      </c>
      <c r="H37">
        <v>56061</v>
      </c>
      <c r="I37" t="str">
        <f>HYPERLINK("https://www.inaturalist.org/taxa/971907-Allium-rosenorum", "View")</f>
        <v>View</v>
      </c>
      <c r="J37" t="s">
        <v>33</v>
      </c>
      <c r="K37" t="s">
        <v>34</v>
      </c>
      <c r="L37">
        <v>971907</v>
      </c>
      <c r="M37">
        <v>0</v>
      </c>
      <c r="N37">
        <v>11.76</v>
      </c>
      <c r="O37">
        <v>0</v>
      </c>
      <c r="P37">
        <v>0</v>
      </c>
      <c r="R37" t="s">
        <v>89</v>
      </c>
      <c r="S37" t="s">
        <v>85</v>
      </c>
      <c r="U37" t="s">
        <v>35</v>
      </c>
    </row>
    <row r="38" spans="1:21" x14ac:dyDescent="0.25">
      <c r="A38">
        <v>37</v>
      </c>
      <c r="B38" t="str">
        <f>HYPERLINK("https://imapinvasives.natureserve.org/imap/services/page/Presence/1139705.html", "View")</f>
        <v>View</v>
      </c>
      <c r="C38">
        <v>1139705</v>
      </c>
      <c r="D38">
        <v>1146217</v>
      </c>
      <c r="E38" t="str">
        <f>HYPERLINK("http://imap3images.s3-website-us-east-1.amazonaws.com/1146217/p/imap_app_photo_1622576521132.jpg", "View")</f>
        <v>View</v>
      </c>
      <c r="F38" t="s">
        <v>18</v>
      </c>
      <c r="G38" t="s">
        <v>19</v>
      </c>
      <c r="H38">
        <v>56061</v>
      </c>
      <c r="I38" t="str">
        <f>HYPERLINK("https://www.inaturalist.org/taxa/56061-Alliaria-petiolata", "View")</f>
        <v>View</v>
      </c>
      <c r="J38" t="s">
        <v>18</v>
      </c>
      <c r="K38" t="s">
        <v>20</v>
      </c>
      <c r="L38">
        <v>56061</v>
      </c>
      <c r="M38">
        <v>48.45</v>
      </c>
      <c r="N38">
        <v>99.47</v>
      </c>
      <c r="O38">
        <v>1</v>
      </c>
      <c r="P38">
        <v>1</v>
      </c>
      <c r="R38" t="s">
        <v>83</v>
      </c>
      <c r="S38" t="s">
        <v>84</v>
      </c>
    </row>
    <row r="39" spans="1:21" x14ac:dyDescent="0.25">
      <c r="A39">
        <v>38</v>
      </c>
      <c r="B39" t="str">
        <f>HYPERLINK("https://imapinvasives.natureserve.org/imap/services/page/Presence/420446.html", "View")</f>
        <v>View</v>
      </c>
      <c r="C39">
        <v>420446</v>
      </c>
      <c r="D39">
        <v>420446</v>
      </c>
      <c r="E39" t="str">
        <f>HYPERLINK("http://imap3images.s3-website-us-east-1.amazonaws.com/420446/p/photourl1_2014_09_09_andstadler_2l00cjy0.jpg", "View")</f>
        <v>View</v>
      </c>
      <c r="F39" t="s">
        <v>18</v>
      </c>
      <c r="G39" t="s">
        <v>19</v>
      </c>
      <c r="H39">
        <v>56061</v>
      </c>
      <c r="I39" t="str">
        <f>HYPERLINK("https://www.inaturalist.org/taxa/133034-Daphne-mezereum", "View")</f>
        <v>View</v>
      </c>
      <c r="J39" t="s">
        <v>36</v>
      </c>
      <c r="K39" t="s">
        <v>37</v>
      </c>
      <c r="L39">
        <v>133034</v>
      </c>
      <c r="M39">
        <v>2.9</v>
      </c>
      <c r="N39">
        <v>35.119999999999997</v>
      </c>
      <c r="O39">
        <v>0</v>
      </c>
      <c r="P39">
        <v>0</v>
      </c>
      <c r="R39" t="s">
        <v>89</v>
      </c>
      <c r="S39" t="s">
        <v>90</v>
      </c>
      <c r="U39" t="s">
        <v>38</v>
      </c>
    </row>
    <row r="40" spans="1:21" x14ac:dyDescent="0.25">
      <c r="A40">
        <v>39</v>
      </c>
      <c r="B40" t="str">
        <f>HYPERLINK("https://imapinvasives.natureserve.org/imap/services/page/Presence/1435077.html", "View")</f>
        <v>View</v>
      </c>
      <c r="C40">
        <v>1435077</v>
      </c>
      <c r="D40">
        <v>1448772</v>
      </c>
      <c r="E40" t="str">
        <f>HYPERLINK("http://imap3images.s3-website-us-east-1.amazonaws.com/1448772/p/Garlic_Mustard.jpg", "View")</f>
        <v>View</v>
      </c>
      <c r="F40" t="s">
        <v>18</v>
      </c>
      <c r="G40" t="s">
        <v>19</v>
      </c>
      <c r="H40">
        <v>56061</v>
      </c>
      <c r="I40" t="str">
        <f>HYPERLINK("https://www.inaturalist.org/taxa/56061-Alliaria-petiolata", "View")</f>
        <v>View</v>
      </c>
      <c r="J40" t="s">
        <v>18</v>
      </c>
      <c r="K40" t="s">
        <v>20</v>
      </c>
      <c r="L40">
        <v>56061</v>
      </c>
      <c r="M40">
        <v>46.57</v>
      </c>
      <c r="N40">
        <v>95.66</v>
      </c>
      <c r="O40">
        <v>1</v>
      </c>
      <c r="P40">
        <v>1</v>
      </c>
      <c r="R40" t="s">
        <v>83</v>
      </c>
      <c r="S40" t="s">
        <v>88</v>
      </c>
    </row>
    <row r="41" spans="1:21" x14ac:dyDescent="0.25">
      <c r="A41">
        <v>40</v>
      </c>
      <c r="B41" t="str">
        <f>HYPERLINK("https://imapinvasives.natureserve.org/imap/services/page/Presence/1274869.html", "View")</f>
        <v>View</v>
      </c>
      <c r="C41">
        <v>1274869</v>
      </c>
      <c r="D41">
        <v>1284177</v>
      </c>
      <c r="E41" t="str">
        <f>HYPERLINK("http://imap3images.s3-website-us-east-1.amazonaws.com/1284177/p/imap_app_photo_1655316197124.jpg", "View")</f>
        <v>View</v>
      </c>
      <c r="F41" t="s">
        <v>18</v>
      </c>
      <c r="G41" t="s">
        <v>19</v>
      </c>
      <c r="H41">
        <v>56061</v>
      </c>
      <c r="I41" t="str">
        <f>HYPERLINK("https://www.inaturalist.org/taxa/56061-Alliaria-petiolata", "View")</f>
        <v>View</v>
      </c>
      <c r="J41" t="s">
        <v>18</v>
      </c>
      <c r="K41" t="s">
        <v>20</v>
      </c>
      <c r="L41">
        <v>56061</v>
      </c>
      <c r="M41">
        <v>21.31</v>
      </c>
      <c r="N41">
        <v>92.26</v>
      </c>
      <c r="O41">
        <v>1</v>
      </c>
      <c r="P41">
        <v>1</v>
      </c>
      <c r="R41" t="s">
        <v>83</v>
      </c>
      <c r="S41" t="s">
        <v>88</v>
      </c>
    </row>
    <row r="42" spans="1:21" x14ac:dyDescent="0.25">
      <c r="A42">
        <v>41</v>
      </c>
      <c r="B42" t="str">
        <f>HYPERLINK("https://imapinvasives.natureserve.org/imap/services/page/Presence/410890.html", "View")</f>
        <v>View</v>
      </c>
      <c r="C42">
        <v>410890</v>
      </c>
      <c r="D42">
        <v>410890</v>
      </c>
      <c r="E42" t="str">
        <f>HYPERLINK("http://imap3images.s3-website-us-east-1.amazonaws.com/410890/p/photourl1_2014_06_01_walcammack_wnec9bcy.jpg", "View")</f>
        <v>View</v>
      </c>
      <c r="F42" t="s">
        <v>18</v>
      </c>
      <c r="G42" t="s">
        <v>19</v>
      </c>
      <c r="H42">
        <v>56061</v>
      </c>
      <c r="I42" t="str">
        <f>HYPERLINK("https://www.inaturalist.org/taxa/56061-Alliaria-petiolata", "View")</f>
        <v>View</v>
      </c>
      <c r="J42" t="s">
        <v>18</v>
      </c>
      <c r="K42" t="s">
        <v>20</v>
      </c>
      <c r="L42">
        <v>56061</v>
      </c>
      <c r="M42">
        <v>49.69</v>
      </c>
      <c r="N42">
        <v>93.27</v>
      </c>
      <c r="O42">
        <v>1</v>
      </c>
      <c r="P42">
        <v>1</v>
      </c>
      <c r="R42" t="s">
        <v>83</v>
      </c>
      <c r="S42" t="s">
        <v>84</v>
      </c>
    </row>
    <row r="43" spans="1:21" x14ac:dyDescent="0.25">
      <c r="A43">
        <v>42</v>
      </c>
      <c r="B43" t="str">
        <f>HYPERLINK("https://imapinvasives.natureserve.org/imap/services/page/Presence/1375429.html", "View")</f>
        <v>View</v>
      </c>
      <c r="C43">
        <v>1375429</v>
      </c>
      <c r="D43">
        <v>1393524</v>
      </c>
      <c r="E43" t="str">
        <f>HYPERLINK("http://imap3images.s3-website-us-east-1.amazonaws.com/1393524/p/imap_app_photo_1707443299148.jpg", "View")</f>
        <v>View</v>
      </c>
      <c r="F43" t="s">
        <v>18</v>
      </c>
      <c r="G43" t="s">
        <v>19</v>
      </c>
      <c r="H43">
        <v>56061</v>
      </c>
      <c r="I43" t="str">
        <f>HYPERLINK("https://www.inaturalist.org/taxa/83799-Mitchella-repens", "View")</f>
        <v>View</v>
      </c>
      <c r="J43" t="s">
        <v>39</v>
      </c>
      <c r="K43" t="s">
        <v>40</v>
      </c>
      <c r="L43">
        <v>83799</v>
      </c>
      <c r="M43">
        <v>30.23</v>
      </c>
      <c r="N43">
        <v>17.18</v>
      </c>
      <c r="O43">
        <v>0</v>
      </c>
      <c r="P43">
        <v>0</v>
      </c>
      <c r="R43" t="s">
        <v>91</v>
      </c>
      <c r="S43" t="s">
        <v>85</v>
      </c>
      <c r="U43" t="s">
        <v>41</v>
      </c>
    </row>
    <row r="44" spans="1:21" x14ac:dyDescent="0.25">
      <c r="A44">
        <v>43</v>
      </c>
      <c r="B44" t="str">
        <f>HYPERLINK("https://imapinvasives.natureserve.org/imap/services/page/Presence/1332134.html", "View")</f>
        <v>View</v>
      </c>
      <c r="C44">
        <v>1332134</v>
      </c>
      <c r="D44">
        <v>1345892</v>
      </c>
      <c r="E44" t="str">
        <f>HYPERLINK("http://imap3images.s3-website-us-east-1.amazonaws.com/1345892/p/imap_app_photo_1685124717513.jpg", "View")</f>
        <v>View</v>
      </c>
      <c r="F44" t="s">
        <v>18</v>
      </c>
      <c r="G44" t="s">
        <v>19</v>
      </c>
      <c r="H44">
        <v>56061</v>
      </c>
      <c r="I44" t="str">
        <f>HYPERLINK("https://www.inaturalist.org/taxa/56061-Alliaria-petiolata", "View")</f>
        <v>View</v>
      </c>
      <c r="J44" t="s">
        <v>18</v>
      </c>
      <c r="K44" t="s">
        <v>20</v>
      </c>
      <c r="L44">
        <v>56061</v>
      </c>
      <c r="M44">
        <v>71.150000000000006</v>
      </c>
      <c r="N44">
        <v>99.61</v>
      </c>
      <c r="O44">
        <v>1</v>
      </c>
      <c r="P44">
        <v>1</v>
      </c>
      <c r="R44" t="s">
        <v>83</v>
      </c>
      <c r="S44" t="s">
        <v>84</v>
      </c>
    </row>
    <row r="45" spans="1:21" x14ac:dyDescent="0.25">
      <c r="A45">
        <v>44</v>
      </c>
      <c r="B45" t="str">
        <f>HYPERLINK("https://imapinvasives.natureserve.org/imap/services/page/Presence/418873.html", "View")</f>
        <v>View</v>
      </c>
      <c r="C45">
        <v>418873</v>
      </c>
      <c r="D45">
        <v>418873</v>
      </c>
      <c r="E45" t="str">
        <f>HYPERLINK("http://imap3images.s3-website-us-east-1.amazonaws.com/418873/p/photourl2_2014_08_07_andstadler_anh485ei.jpg", "View")</f>
        <v>View</v>
      </c>
      <c r="F45" t="s">
        <v>18</v>
      </c>
      <c r="G45" t="s">
        <v>19</v>
      </c>
      <c r="H45">
        <v>56061</v>
      </c>
      <c r="I45" t="str">
        <f>HYPERLINK("https://www.inaturalist.org/taxa/46217-Tamias-striatus", "View")</f>
        <v>View</v>
      </c>
      <c r="J45" t="s">
        <v>42</v>
      </c>
      <c r="K45" t="s">
        <v>43</v>
      </c>
      <c r="L45">
        <v>46217</v>
      </c>
      <c r="M45">
        <v>39.090000000000003</v>
      </c>
      <c r="N45">
        <v>6.1</v>
      </c>
      <c r="O45">
        <v>0</v>
      </c>
      <c r="P45">
        <v>0</v>
      </c>
      <c r="R45" t="s">
        <v>89</v>
      </c>
      <c r="S45" t="s">
        <v>90</v>
      </c>
      <c r="U45" t="s">
        <v>44</v>
      </c>
    </row>
    <row r="46" spans="1:21" x14ac:dyDescent="0.25">
      <c r="A46">
        <v>45</v>
      </c>
      <c r="B46" t="str">
        <f>HYPERLINK("https://imapinvasives.natureserve.org/imap/services/page/Presence/1278933.html", "View")</f>
        <v>View</v>
      </c>
      <c r="C46">
        <v>1278933</v>
      </c>
      <c r="D46">
        <v>1288293</v>
      </c>
      <c r="E46" t="str">
        <f>HYPERLINK("http://imap3images.s3-website-us-east-1.amazonaws.com/1288293/p/imap_app_photo_1656004789591.jpg", "View")</f>
        <v>View</v>
      </c>
      <c r="F46" t="s">
        <v>18</v>
      </c>
      <c r="G46" t="s">
        <v>19</v>
      </c>
      <c r="H46">
        <v>56061</v>
      </c>
      <c r="I46" t="str">
        <f>HYPERLINK("https://www.inaturalist.org/taxa/56061-Alliaria-petiolata", "View")</f>
        <v>View</v>
      </c>
      <c r="J46" t="s">
        <v>18</v>
      </c>
      <c r="K46" t="s">
        <v>20</v>
      </c>
      <c r="L46">
        <v>56061</v>
      </c>
      <c r="M46">
        <v>21.64</v>
      </c>
      <c r="N46">
        <v>96.46</v>
      </c>
      <c r="O46">
        <v>1</v>
      </c>
      <c r="P46">
        <v>1</v>
      </c>
      <c r="R46" t="s">
        <v>83</v>
      </c>
      <c r="S46" t="s">
        <v>84</v>
      </c>
    </row>
    <row r="47" spans="1:21" x14ac:dyDescent="0.25">
      <c r="A47">
        <v>46</v>
      </c>
      <c r="B47" t="str">
        <f>HYPERLINK("https://imapinvasives.natureserve.org/imap/services/page/Presence/1332511.html", "View")</f>
        <v>View</v>
      </c>
      <c r="C47">
        <v>1332511</v>
      </c>
      <c r="D47">
        <v>1346386</v>
      </c>
      <c r="E47" t="str">
        <f>HYPERLINK("http://imap3images.s3-website-us-east-1.amazonaws.com/1346386/p/imap_app_photo_1685541279184.jpg", "View")</f>
        <v>View</v>
      </c>
      <c r="F47" t="s">
        <v>18</v>
      </c>
      <c r="G47" t="s">
        <v>19</v>
      </c>
      <c r="H47">
        <v>56061</v>
      </c>
      <c r="I47" t="str">
        <f>HYPERLINK("https://www.inaturalist.org/taxa/56061-Alliaria-petiolata", "View")</f>
        <v>View</v>
      </c>
      <c r="J47" t="s">
        <v>18</v>
      </c>
      <c r="K47" t="s">
        <v>20</v>
      </c>
      <c r="L47">
        <v>56061</v>
      </c>
      <c r="M47">
        <v>51.26</v>
      </c>
      <c r="N47">
        <v>95.87</v>
      </c>
      <c r="O47">
        <v>1</v>
      </c>
      <c r="P47">
        <v>1</v>
      </c>
      <c r="R47" t="s">
        <v>83</v>
      </c>
      <c r="S47" t="s">
        <v>84</v>
      </c>
    </row>
    <row r="48" spans="1:21" x14ac:dyDescent="0.25">
      <c r="A48">
        <v>47</v>
      </c>
      <c r="B48" t="str">
        <f>HYPERLINK("https://imapinvasives.natureserve.org/imap/services/page/Presence/1412173.html", "View")</f>
        <v>View</v>
      </c>
      <c r="C48">
        <v>1412173</v>
      </c>
      <c r="D48">
        <v>1424869</v>
      </c>
      <c r="E48" t="str">
        <f>HYPERLINK("http://imap3images.s3-website-us-east-1.amazonaws.com/1424869/p/imap_app_photo_1718838807797.jpg", "View")</f>
        <v>View</v>
      </c>
      <c r="F48" t="s">
        <v>18</v>
      </c>
      <c r="G48" t="s">
        <v>19</v>
      </c>
      <c r="H48">
        <v>56061</v>
      </c>
      <c r="I48" t="str">
        <f>HYPERLINK("https://www.inaturalist.org/taxa/56061-Alliaria-petiolata", "View")</f>
        <v>View</v>
      </c>
      <c r="J48" t="s">
        <v>18</v>
      </c>
      <c r="K48" t="s">
        <v>20</v>
      </c>
      <c r="L48">
        <v>56061</v>
      </c>
      <c r="M48">
        <v>48.45</v>
      </c>
      <c r="N48">
        <v>49.47</v>
      </c>
      <c r="O48">
        <v>1</v>
      </c>
      <c r="P48">
        <v>1</v>
      </c>
      <c r="R48" t="s">
        <v>83</v>
      </c>
      <c r="S48" t="s">
        <v>88</v>
      </c>
    </row>
    <row r="49" spans="1:21" x14ac:dyDescent="0.25">
      <c r="A49">
        <v>48</v>
      </c>
      <c r="B49" t="str">
        <f>HYPERLINK("https://imapinvasives.natureserve.org/imap/services/page/Presence/410949.html", "View")</f>
        <v>View</v>
      </c>
      <c r="C49">
        <v>410949</v>
      </c>
      <c r="D49">
        <v>410949</v>
      </c>
      <c r="E49" t="str">
        <f>HYPERLINK("http://imap3images.s3-website-us-east-1.amazonaws.com/410949/p/photourl2_2014_06_09_bilbrown_5j17dgk1.jpg", "View")</f>
        <v>View</v>
      </c>
      <c r="F49" t="s">
        <v>18</v>
      </c>
      <c r="G49" t="s">
        <v>19</v>
      </c>
      <c r="H49">
        <v>56061</v>
      </c>
      <c r="I49" t="str">
        <f>HYPERLINK("https://www.inaturalist.org/taxa/890-Bonasa-umbellus", "View")</f>
        <v>View</v>
      </c>
      <c r="J49" t="s">
        <v>45</v>
      </c>
      <c r="K49" t="s">
        <v>46</v>
      </c>
      <c r="L49">
        <v>890</v>
      </c>
      <c r="M49">
        <v>30.5</v>
      </c>
      <c r="N49">
        <v>18.399999999999999</v>
      </c>
      <c r="O49">
        <v>0</v>
      </c>
      <c r="P49">
        <v>0</v>
      </c>
      <c r="R49" t="s">
        <v>89</v>
      </c>
      <c r="S49" t="s">
        <v>86</v>
      </c>
      <c r="U49" t="s">
        <v>35</v>
      </c>
    </row>
    <row r="50" spans="1:21" x14ac:dyDescent="0.25">
      <c r="A50">
        <v>49</v>
      </c>
      <c r="B50" t="str">
        <f>HYPERLINK("https://imapinvasives.natureserve.org/imap/services/page/Presence/1047837.html", "View")</f>
        <v>View</v>
      </c>
      <c r="C50">
        <v>1047837</v>
      </c>
      <c r="D50">
        <v>1051835</v>
      </c>
      <c r="E50" t="str">
        <f>HYPERLINK("http://imap3images.s3-website-us-east-1.amazonaws.com/1051835/p/imap_app_photo_1591215342482.jpg", "View")</f>
        <v>View</v>
      </c>
      <c r="F50" t="s">
        <v>18</v>
      </c>
      <c r="G50" t="s">
        <v>19</v>
      </c>
      <c r="H50">
        <v>56061</v>
      </c>
      <c r="I50" t="str">
        <f t="shared" ref="I50:I59" si="2">HYPERLINK("https://www.inaturalist.org/taxa/56061-Alliaria-petiolata", "View")</f>
        <v>View</v>
      </c>
      <c r="J50" t="s">
        <v>18</v>
      </c>
      <c r="K50" t="s">
        <v>20</v>
      </c>
      <c r="L50">
        <v>56061</v>
      </c>
      <c r="M50">
        <v>49.72</v>
      </c>
      <c r="N50">
        <v>17.829999999999998</v>
      </c>
      <c r="O50">
        <v>1</v>
      </c>
      <c r="P50">
        <v>1</v>
      </c>
      <c r="R50" t="s">
        <v>83</v>
      </c>
      <c r="S50" t="s">
        <v>88</v>
      </c>
    </row>
    <row r="51" spans="1:21" x14ac:dyDescent="0.25">
      <c r="A51">
        <v>50</v>
      </c>
      <c r="B51" t="str">
        <f>HYPERLINK("https://imapinvasives.natureserve.org/imap/services/page/Presence/494078.html", "View")</f>
        <v>View</v>
      </c>
      <c r="C51">
        <v>494078</v>
      </c>
      <c r="D51">
        <v>494078</v>
      </c>
      <c r="E51" t="str">
        <f>HYPERLINK("http://imap3images.s3-website-us-east-1.amazonaws.com/494078/p/photourl1_2016_08_03_julgrinstead_75041y4h.jpg", "View")</f>
        <v>View</v>
      </c>
      <c r="F51" t="s">
        <v>18</v>
      </c>
      <c r="G51" t="s">
        <v>19</v>
      </c>
      <c r="H51">
        <v>56061</v>
      </c>
      <c r="I51" t="str">
        <f t="shared" si="2"/>
        <v>View</v>
      </c>
      <c r="J51" t="s">
        <v>18</v>
      </c>
      <c r="K51" t="s">
        <v>20</v>
      </c>
      <c r="L51">
        <v>56061</v>
      </c>
      <c r="M51">
        <v>42.62</v>
      </c>
      <c r="N51">
        <v>99.2</v>
      </c>
      <c r="O51">
        <v>1</v>
      </c>
      <c r="P51">
        <v>1</v>
      </c>
      <c r="R51" t="s">
        <v>83</v>
      </c>
      <c r="S51" t="s">
        <v>84</v>
      </c>
    </row>
    <row r="52" spans="1:21" x14ac:dyDescent="0.25">
      <c r="A52">
        <v>51</v>
      </c>
      <c r="B52" t="str">
        <f>HYPERLINK("https://imapinvasives.natureserve.org/imap/services/page/Presence/333193.html", "View")</f>
        <v>View</v>
      </c>
      <c r="C52">
        <v>333193</v>
      </c>
      <c r="D52">
        <v>333193</v>
      </c>
      <c r="E52" t="str">
        <f>HYPERLINK("http://imap3images.s3-website-us-east-1.amazonaws.com/333193/p/photourl3_2012_07_03_devmcshane_f4qze6hn.jpg", "View")</f>
        <v>View</v>
      </c>
      <c r="F52" t="s">
        <v>18</v>
      </c>
      <c r="G52" t="s">
        <v>19</v>
      </c>
      <c r="H52">
        <v>56061</v>
      </c>
      <c r="I52" t="str">
        <f t="shared" si="2"/>
        <v>View</v>
      </c>
      <c r="J52" t="s">
        <v>18</v>
      </c>
      <c r="K52" t="s">
        <v>20</v>
      </c>
      <c r="L52">
        <v>56061</v>
      </c>
      <c r="M52">
        <v>19.04</v>
      </c>
      <c r="N52">
        <v>10.65</v>
      </c>
      <c r="O52">
        <v>1</v>
      </c>
      <c r="P52">
        <v>1</v>
      </c>
      <c r="R52" t="s">
        <v>83</v>
      </c>
      <c r="S52" t="s">
        <v>90</v>
      </c>
    </row>
    <row r="53" spans="1:21" x14ac:dyDescent="0.25">
      <c r="A53">
        <v>52</v>
      </c>
      <c r="B53" t="str">
        <f>HYPERLINK("https://imapinvasives.natureserve.org/imap/services/page/Presence/511801.html", "View")</f>
        <v>View</v>
      </c>
      <c r="C53">
        <v>511801</v>
      </c>
      <c r="D53">
        <v>511801</v>
      </c>
      <c r="E53" t="str">
        <f>HYPERLINK("http://imap3images.s3-website-us-east-1.amazonaws.com/511801/p/photourl1_2017_06_08_johthompson_vymks2io.jpg", "View")</f>
        <v>View</v>
      </c>
      <c r="F53" t="s">
        <v>18</v>
      </c>
      <c r="G53" t="s">
        <v>19</v>
      </c>
      <c r="H53">
        <v>56061</v>
      </c>
      <c r="I53" t="str">
        <f t="shared" si="2"/>
        <v>View</v>
      </c>
      <c r="J53" t="s">
        <v>18</v>
      </c>
      <c r="K53" t="s">
        <v>20</v>
      </c>
      <c r="L53">
        <v>56061</v>
      </c>
      <c r="M53">
        <v>22.62</v>
      </c>
      <c r="N53">
        <v>99.19</v>
      </c>
      <c r="O53">
        <v>1</v>
      </c>
      <c r="P53">
        <v>1</v>
      </c>
      <c r="R53" t="s">
        <v>83</v>
      </c>
      <c r="S53" t="s">
        <v>84</v>
      </c>
    </row>
    <row r="54" spans="1:21" x14ac:dyDescent="0.25">
      <c r="A54">
        <v>53</v>
      </c>
      <c r="B54" t="str">
        <f>HYPERLINK("https://imapinvasives.natureserve.org/imap/services/page/Presence/1271754.html", "View")</f>
        <v>View</v>
      </c>
      <c r="C54">
        <v>1271754</v>
      </c>
      <c r="D54">
        <v>1280733</v>
      </c>
      <c r="E54" t="str">
        <f>HYPERLINK("http://imap3images.s3-website-us-east-1.amazonaws.com/1280733/p/Photo1-20220511-155733.jpg", "View")</f>
        <v>View</v>
      </c>
      <c r="F54" t="s">
        <v>18</v>
      </c>
      <c r="G54" t="s">
        <v>19</v>
      </c>
      <c r="H54">
        <v>56061</v>
      </c>
      <c r="I54" t="str">
        <f t="shared" si="2"/>
        <v>View</v>
      </c>
      <c r="J54" t="s">
        <v>18</v>
      </c>
      <c r="K54" t="s">
        <v>20</v>
      </c>
      <c r="L54">
        <v>56061</v>
      </c>
      <c r="M54">
        <v>90.87</v>
      </c>
      <c r="N54">
        <v>99.48</v>
      </c>
      <c r="O54">
        <v>1</v>
      </c>
      <c r="P54">
        <v>1</v>
      </c>
      <c r="R54" t="s">
        <v>83</v>
      </c>
      <c r="S54" t="s">
        <v>84</v>
      </c>
    </row>
    <row r="55" spans="1:21" x14ac:dyDescent="0.25">
      <c r="A55">
        <v>54</v>
      </c>
      <c r="B55" t="str">
        <f>HYPERLINK("https://imapinvasives.natureserve.org/imap/services/page/Presence/1145397.html", "View")</f>
        <v>View</v>
      </c>
      <c r="C55">
        <v>1145397</v>
      </c>
      <c r="D55">
        <v>1151929</v>
      </c>
      <c r="E55" t="str">
        <f>HYPERLINK("http://imap3images.s3-website-us-east-1.amazonaws.com/1151929/p/imap_app_photo_1623340362675.jpg", "View")</f>
        <v>View</v>
      </c>
      <c r="F55" t="s">
        <v>18</v>
      </c>
      <c r="G55" t="s">
        <v>19</v>
      </c>
      <c r="H55">
        <v>56061</v>
      </c>
      <c r="I55" t="str">
        <f t="shared" si="2"/>
        <v>View</v>
      </c>
      <c r="J55" t="s">
        <v>18</v>
      </c>
      <c r="K55" t="s">
        <v>20</v>
      </c>
      <c r="L55">
        <v>56061</v>
      </c>
      <c r="M55">
        <v>61.18</v>
      </c>
      <c r="N55">
        <v>96.65</v>
      </c>
      <c r="O55">
        <v>1</v>
      </c>
      <c r="P55">
        <v>1</v>
      </c>
      <c r="R55" t="s">
        <v>83</v>
      </c>
      <c r="S55" t="s">
        <v>84</v>
      </c>
    </row>
    <row r="56" spans="1:21" x14ac:dyDescent="0.25">
      <c r="A56">
        <v>55</v>
      </c>
      <c r="B56" t="str">
        <f>HYPERLINK("https://imapinvasives.natureserve.org/imap/services/page/Presence/1145761.html", "View")</f>
        <v>View</v>
      </c>
      <c r="C56">
        <v>1145761</v>
      </c>
      <c r="D56">
        <v>1152303</v>
      </c>
      <c r="E56" t="str">
        <f>HYPERLINK("http://imap3images.s3-website-us-east-1.amazonaws.com/1152303/p/imap_app_photo_1623771358482.jpg", "View")</f>
        <v>View</v>
      </c>
      <c r="F56" t="s">
        <v>18</v>
      </c>
      <c r="G56" t="s">
        <v>19</v>
      </c>
      <c r="H56">
        <v>56061</v>
      </c>
      <c r="I56" t="str">
        <f t="shared" si="2"/>
        <v>View</v>
      </c>
      <c r="J56" t="s">
        <v>18</v>
      </c>
      <c r="K56" t="s">
        <v>20</v>
      </c>
      <c r="L56">
        <v>56061</v>
      </c>
      <c r="M56">
        <v>61.18</v>
      </c>
      <c r="N56">
        <v>97.68</v>
      </c>
      <c r="O56">
        <v>1</v>
      </c>
      <c r="P56">
        <v>1</v>
      </c>
      <c r="R56" t="s">
        <v>83</v>
      </c>
      <c r="S56" t="s">
        <v>84</v>
      </c>
    </row>
    <row r="57" spans="1:21" x14ac:dyDescent="0.25">
      <c r="A57">
        <v>56</v>
      </c>
      <c r="B57" t="str">
        <f>HYPERLINK("https://imapinvasives.natureserve.org/imap/services/page/Presence/510864.html", "View")</f>
        <v>View</v>
      </c>
      <c r="C57">
        <v>510864</v>
      </c>
      <c r="D57">
        <v>510864</v>
      </c>
      <c r="E57" t="str">
        <f>HYPERLINK("http://imap3images.s3-website-us-east-1.amazonaws.com/510864/p/photourl1_2017_05_16_audbowe_fbmlo4i0.jpg", "View")</f>
        <v>View</v>
      </c>
      <c r="F57" t="s">
        <v>18</v>
      </c>
      <c r="G57" t="s">
        <v>19</v>
      </c>
      <c r="H57">
        <v>56061</v>
      </c>
      <c r="I57" t="str">
        <f t="shared" si="2"/>
        <v>View</v>
      </c>
      <c r="J57" t="s">
        <v>18</v>
      </c>
      <c r="K57" t="s">
        <v>20</v>
      </c>
      <c r="L57">
        <v>56061</v>
      </c>
      <c r="M57">
        <v>32.5</v>
      </c>
      <c r="N57">
        <v>96.08</v>
      </c>
      <c r="O57">
        <v>1</v>
      </c>
      <c r="P57">
        <v>1</v>
      </c>
      <c r="R57" t="s">
        <v>83</v>
      </c>
      <c r="S57" t="s">
        <v>84</v>
      </c>
    </row>
    <row r="58" spans="1:21" x14ac:dyDescent="0.25">
      <c r="A58">
        <v>57</v>
      </c>
      <c r="B58" t="str">
        <f>HYPERLINK("https://imapinvasives.natureserve.org/imap/services/page/Presence/527565.html", "View")</f>
        <v>View</v>
      </c>
      <c r="C58">
        <v>527565</v>
      </c>
      <c r="D58">
        <v>527565</v>
      </c>
      <c r="E58" t="str">
        <f>HYPERLINK("http://imap3images.s3-website-us-east-1.amazonaws.com/527565/p/photourl1_2018_06_27_julkostin_5la5da08.jpg", "View")</f>
        <v>View</v>
      </c>
      <c r="F58" t="s">
        <v>18</v>
      </c>
      <c r="G58" t="s">
        <v>19</v>
      </c>
      <c r="H58">
        <v>56061</v>
      </c>
      <c r="I58" t="str">
        <f t="shared" si="2"/>
        <v>View</v>
      </c>
      <c r="J58" t="s">
        <v>18</v>
      </c>
      <c r="K58" t="s">
        <v>20</v>
      </c>
      <c r="L58">
        <v>56061</v>
      </c>
      <c r="M58">
        <v>22.26</v>
      </c>
      <c r="N58">
        <v>49.77</v>
      </c>
      <c r="O58">
        <v>1</v>
      </c>
      <c r="P58">
        <v>1</v>
      </c>
      <c r="R58" t="s">
        <v>83</v>
      </c>
      <c r="S58" t="s">
        <v>88</v>
      </c>
    </row>
    <row r="59" spans="1:21" x14ac:dyDescent="0.25">
      <c r="A59">
        <v>58</v>
      </c>
      <c r="B59" t="str">
        <f>HYPERLINK("https://imapinvasives.natureserve.org/imap/services/page/Presence/513075.html", "View")</f>
        <v>View</v>
      </c>
      <c r="C59">
        <v>513075</v>
      </c>
      <c r="D59">
        <v>513075</v>
      </c>
      <c r="E59" t="str">
        <f>HYPERLINK("http://imap3images.s3-website-us-east-1.amazonaws.com/513075/p/photourl1_2017_07_14_elirosenthal_uqv318fo.jpg", "View")</f>
        <v>View</v>
      </c>
      <c r="F59" t="s">
        <v>18</v>
      </c>
      <c r="G59" t="s">
        <v>19</v>
      </c>
      <c r="H59">
        <v>56061</v>
      </c>
      <c r="I59" t="str">
        <f t="shared" si="2"/>
        <v>View</v>
      </c>
      <c r="J59" t="s">
        <v>18</v>
      </c>
      <c r="K59" t="s">
        <v>20</v>
      </c>
      <c r="L59">
        <v>56061</v>
      </c>
      <c r="M59">
        <v>32.380000000000003</v>
      </c>
      <c r="N59">
        <v>61.22</v>
      </c>
      <c r="O59">
        <v>1</v>
      </c>
      <c r="P59">
        <v>1</v>
      </c>
      <c r="R59" t="s">
        <v>83</v>
      </c>
      <c r="S59" t="s">
        <v>84</v>
      </c>
    </row>
    <row r="60" spans="1:21" x14ac:dyDescent="0.25">
      <c r="A60">
        <v>59</v>
      </c>
      <c r="B60" t="str">
        <f>HYPERLINK("https://imapinvasives.natureserve.org/imap/services/page/Presence/533326.html", "View")</f>
        <v>View</v>
      </c>
      <c r="C60">
        <v>533326</v>
      </c>
      <c r="D60">
        <v>533326</v>
      </c>
      <c r="E60" t="str">
        <f>HYPERLINK("http://imap3images.s3-website-us-east-1.amazonaws.com/533326/p/photourl1_2019_03_20_eldhall_mlu7k9j3.jpg", "View")</f>
        <v>View</v>
      </c>
      <c r="F60" t="s">
        <v>18</v>
      </c>
      <c r="G60" t="s">
        <v>19</v>
      </c>
      <c r="H60">
        <v>56061</v>
      </c>
      <c r="I60" t="str">
        <f>HYPERLINK("https://www.inaturalist.org/taxa/55830-Glechoma-hederacea", "View")</f>
        <v>View</v>
      </c>
      <c r="J60" t="s">
        <v>47</v>
      </c>
      <c r="K60" t="s">
        <v>48</v>
      </c>
      <c r="L60">
        <v>55830</v>
      </c>
      <c r="M60">
        <v>30.63</v>
      </c>
      <c r="N60">
        <v>99.49</v>
      </c>
      <c r="O60">
        <v>0</v>
      </c>
      <c r="P60">
        <v>0</v>
      </c>
      <c r="R60" t="s">
        <v>94</v>
      </c>
      <c r="S60" t="s">
        <v>84</v>
      </c>
      <c r="U60" t="s">
        <v>41</v>
      </c>
    </row>
    <row r="61" spans="1:21" x14ac:dyDescent="0.25">
      <c r="A61">
        <v>60</v>
      </c>
      <c r="B61" t="str">
        <f>HYPERLINK("https://imapinvasives.natureserve.org/imap/services/page/Presence/420427.html", "View")</f>
        <v>View</v>
      </c>
      <c r="C61">
        <v>420427</v>
      </c>
      <c r="D61">
        <v>420427</v>
      </c>
      <c r="E61" t="str">
        <f>HYPERLINK("http://imap3images.s3-website-us-east-1.amazonaws.com/420427/p/photourl1_2014_09_09_jerkrajna_ipte22ym.jpg", "View")</f>
        <v>View</v>
      </c>
      <c r="F61" t="s">
        <v>18</v>
      </c>
      <c r="G61" t="s">
        <v>19</v>
      </c>
      <c r="H61">
        <v>56061</v>
      </c>
      <c r="I61" t="str">
        <f>HYPERLINK("https://www.inaturalist.org/taxa/56061-Alliaria-petiolata", "View")</f>
        <v>View</v>
      </c>
      <c r="J61" t="s">
        <v>18</v>
      </c>
      <c r="K61" t="s">
        <v>20</v>
      </c>
      <c r="L61">
        <v>56061</v>
      </c>
      <c r="M61">
        <v>22.62</v>
      </c>
      <c r="N61">
        <v>33.36</v>
      </c>
      <c r="O61">
        <v>1</v>
      </c>
      <c r="P61">
        <v>1</v>
      </c>
      <c r="R61" t="s">
        <v>83</v>
      </c>
      <c r="S61" t="s">
        <v>90</v>
      </c>
    </row>
    <row r="62" spans="1:21" x14ac:dyDescent="0.25">
      <c r="A62">
        <v>61</v>
      </c>
      <c r="B62" t="str">
        <f>HYPERLINK("https://imapinvasives.natureserve.org/imap/services/page/Presence/1282951.html", "View")</f>
        <v>View</v>
      </c>
      <c r="C62">
        <v>1282951</v>
      </c>
      <c r="D62">
        <v>1292453</v>
      </c>
      <c r="E62" t="str">
        <f>HYPERLINK("http://imap3images.s3-website-us-east-1.amazonaws.com/1292453/p/Photo_1.jpg", "View")</f>
        <v>View</v>
      </c>
      <c r="F62" t="s">
        <v>18</v>
      </c>
      <c r="G62" t="s">
        <v>19</v>
      </c>
      <c r="H62">
        <v>56061</v>
      </c>
      <c r="I62" t="str">
        <f>HYPERLINK("https://www.inaturalist.org/taxa/56061-Alliaria-petiolata", "View")</f>
        <v>View</v>
      </c>
      <c r="J62" t="s">
        <v>18</v>
      </c>
      <c r="K62" t="s">
        <v>20</v>
      </c>
      <c r="L62">
        <v>56061</v>
      </c>
      <c r="M62">
        <v>47.72</v>
      </c>
      <c r="N62">
        <v>57.69</v>
      </c>
      <c r="O62">
        <v>1</v>
      </c>
      <c r="P62">
        <v>1</v>
      </c>
      <c r="R62" t="s">
        <v>83</v>
      </c>
      <c r="S62" t="s">
        <v>88</v>
      </c>
    </row>
    <row r="63" spans="1:21" x14ac:dyDescent="0.25">
      <c r="A63">
        <v>62</v>
      </c>
      <c r="B63" t="str">
        <f>HYPERLINK("https://imapinvasives.natureserve.org/imap/services/page/Presence/1273444.html", "View")</f>
        <v>View</v>
      </c>
      <c r="C63">
        <v>1273444</v>
      </c>
      <c r="D63">
        <v>1282603</v>
      </c>
      <c r="E63" t="str">
        <f>HYPERLINK("http://imap3images.s3-website-us-east-1.amazonaws.com/1282603/p/Photo2-20220601-143000.jpg", "View")</f>
        <v>View</v>
      </c>
      <c r="F63" t="s">
        <v>18</v>
      </c>
      <c r="G63" t="s">
        <v>19</v>
      </c>
      <c r="H63">
        <v>56061</v>
      </c>
      <c r="I63" t="str">
        <f>HYPERLINK("https://www.inaturalist.org/taxa/56061-Alliaria-petiolata", "View")</f>
        <v>View</v>
      </c>
      <c r="J63" t="s">
        <v>18</v>
      </c>
      <c r="K63" t="s">
        <v>20</v>
      </c>
      <c r="L63">
        <v>56061</v>
      </c>
      <c r="M63">
        <v>90.87</v>
      </c>
      <c r="N63">
        <v>98.92</v>
      </c>
      <c r="O63">
        <v>1</v>
      </c>
      <c r="P63">
        <v>1</v>
      </c>
      <c r="R63" t="s">
        <v>83</v>
      </c>
      <c r="S63" t="s">
        <v>84</v>
      </c>
    </row>
    <row r="64" spans="1:21" x14ac:dyDescent="0.25">
      <c r="A64">
        <v>63</v>
      </c>
      <c r="B64" t="str">
        <f>HYPERLINK("https://imapinvasives.natureserve.org/imap/services/page/Presence/1051282.html", "View")</f>
        <v>View</v>
      </c>
      <c r="C64">
        <v>1051282</v>
      </c>
      <c r="D64">
        <v>1055340</v>
      </c>
      <c r="E64" t="str">
        <f>HYPERLINK("http://imap3images.s3-website-us-east-1.amazonaws.com/1055340/p/imap_app_photo_1592587840048.jpg", "View")</f>
        <v>View</v>
      </c>
      <c r="F64" t="s">
        <v>18</v>
      </c>
      <c r="G64" t="s">
        <v>19</v>
      </c>
      <c r="H64">
        <v>56061</v>
      </c>
      <c r="I64" t="str">
        <f>HYPERLINK("https://www.inaturalist.org/taxa/48618-Echinocystis-lobata", "View")</f>
        <v>View</v>
      </c>
      <c r="J64" t="s">
        <v>49</v>
      </c>
      <c r="K64" t="s">
        <v>50</v>
      </c>
      <c r="L64">
        <v>48618</v>
      </c>
      <c r="M64">
        <v>29.82</v>
      </c>
      <c r="N64">
        <v>15.07</v>
      </c>
      <c r="O64">
        <v>0</v>
      </c>
      <c r="P64">
        <v>0</v>
      </c>
      <c r="R64" t="s">
        <v>89</v>
      </c>
      <c r="S64" t="s">
        <v>85</v>
      </c>
      <c r="U64" t="s">
        <v>35</v>
      </c>
    </row>
    <row r="65" spans="1:21" x14ac:dyDescent="0.25">
      <c r="A65">
        <v>64</v>
      </c>
      <c r="B65" t="str">
        <f>HYPERLINK("https://imapinvasives.natureserve.org/imap/services/page/Presence/1047044.html", "View")</f>
        <v>View</v>
      </c>
      <c r="C65">
        <v>1047044</v>
      </c>
      <c r="D65">
        <v>1050991</v>
      </c>
      <c r="E65" t="str">
        <f>HYPERLINK("http://imap3images.s3-website-us-east-1.amazonaws.com/1050991/p/imap_app_photo_1590633501506.jpg", "View")</f>
        <v>View</v>
      </c>
      <c r="F65" t="s">
        <v>18</v>
      </c>
      <c r="G65" t="s">
        <v>19</v>
      </c>
      <c r="H65">
        <v>56061</v>
      </c>
      <c r="I65" t="str">
        <f>HYPERLINK("https://www.inaturalist.org/taxa/131249-Persicaria-perfoliata", "View")</f>
        <v>View</v>
      </c>
      <c r="J65" t="s">
        <v>51</v>
      </c>
      <c r="K65" t="s">
        <v>52</v>
      </c>
      <c r="L65">
        <v>131249</v>
      </c>
      <c r="M65">
        <v>66.16</v>
      </c>
      <c r="N65">
        <v>14.32</v>
      </c>
      <c r="O65">
        <v>0</v>
      </c>
      <c r="P65">
        <v>0</v>
      </c>
      <c r="R65" t="s">
        <v>93</v>
      </c>
      <c r="S65" t="s">
        <v>85</v>
      </c>
      <c r="U65" t="s">
        <v>29</v>
      </c>
    </row>
    <row r="66" spans="1:21" x14ac:dyDescent="0.25">
      <c r="A66">
        <v>65</v>
      </c>
      <c r="B66" t="str">
        <f>HYPERLINK("https://imapinvasives.natureserve.org/imap/services/page/Presence/491631.html", "View")</f>
        <v>View</v>
      </c>
      <c r="C66">
        <v>491631</v>
      </c>
      <c r="D66">
        <v>491631</v>
      </c>
      <c r="E66" t="str">
        <f>HYPERLINK("http://imap3images.s3-website-us-east-1.amazonaws.com/491631/p/photourl1_2016_06_14_tylchristensen_cf1yqge8.jpg", "View")</f>
        <v>View</v>
      </c>
      <c r="F66" t="s">
        <v>18</v>
      </c>
      <c r="G66" t="s">
        <v>19</v>
      </c>
      <c r="H66">
        <v>56061</v>
      </c>
      <c r="I66" t="str">
        <f>HYPERLINK("https://www.inaturalist.org/taxa/56061-Alliaria-petiolata", "View")</f>
        <v>View</v>
      </c>
      <c r="J66" t="s">
        <v>18</v>
      </c>
      <c r="K66" t="s">
        <v>20</v>
      </c>
      <c r="L66">
        <v>56061</v>
      </c>
      <c r="M66">
        <v>45.83</v>
      </c>
      <c r="N66">
        <v>90.74</v>
      </c>
      <c r="O66">
        <v>1</v>
      </c>
      <c r="P66">
        <v>1</v>
      </c>
      <c r="R66" t="s">
        <v>83</v>
      </c>
      <c r="S66" t="s">
        <v>84</v>
      </c>
    </row>
    <row r="67" spans="1:21" x14ac:dyDescent="0.25">
      <c r="A67">
        <v>66</v>
      </c>
      <c r="B67" t="str">
        <f>HYPERLINK("https://imapinvasives.natureserve.org/imap/services/page/Presence/418757.html", "View")</f>
        <v>View</v>
      </c>
      <c r="C67">
        <v>418757</v>
      </c>
      <c r="D67">
        <v>418757</v>
      </c>
      <c r="E67" t="str">
        <f>HYPERLINK("http://imap3images.s3-website-us-east-1.amazonaws.com/418757/p/photourl1_2014_08_06_andstadler_y6mo4jee.jpg", "View")</f>
        <v>View</v>
      </c>
      <c r="F67" t="s">
        <v>18</v>
      </c>
      <c r="G67" t="s">
        <v>19</v>
      </c>
      <c r="H67">
        <v>56061</v>
      </c>
      <c r="I67" t="str">
        <f>HYPERLINK("https://www.inaturalist.org/taxa/56061-Alliaria-petiolata", "View")</f>
        <v>View</v>
      </c>
      <c r="J67" t="s">
        <v>18</v>
      </c>
      <c r="K67" t="s">
        <v>20</v>
      </c>
      <c r="L67">
        <v>56061</v>
      </c>
      <c r="M67">
        <v>48.78</v>
      </c>
      <c r="N67">
        <v>83.71</v>
      </c>
      <c r="O67">
        <v>1</v>
      </c>
      <c r="P67">
        <v>1</v>
      </c>
      <c r="R67" t="s">
        <v>83</v>
      </c>
      <c r="S67" t="s">
        <v>84</v>
      </c>
    </row>
    <row r="68" spans="1:21" x14ac:dyDescent="0.25">
      <c r="A68">
        <v>67</v>
      </c>
      <c r="B68" t="str">
        <f>HYPERLINK("https://imapinvasives.natureserve.org/imap/services/page/Presence/1017383.html", "View")</f>
        <v>View</v>
      </c>
      <c r="C68">
        <v>1017383</v>
      </c>
      <c r="D68">
        <v>1017876</v>
      </c>
      <c r="E68" t="str">
        <f>HYPERLINK("http://imap3images.s3-website-us-east-1.amazonaws.com/1017876/p/imap_app_photo_1560854810212.jpg", "View")</f>
        <v>View</v>
      </c>
      <c r="F68" t="s">
        <v>18</v>
      </c>
      <c r="G68" t="s">
        <v>19</v>
      </c>
      <c r="H68">
        <v>56061</v>
      </c>
      <c r="I68" t="str">
        <f>HYPERLINK("https://www.inaturalist.org/taxa/56061-Alliaria-petiolata", "View")</f>
        <v>View</v>
      </c>
      <c r="J68" t="s">
        <v>18</v>
      </c>
      <c r="K68" t="s">
        <v>20</v>
      </c>
      <c r="L68">
        <v>56061</v>
      </c>
      <c r="M68">
        <v>90.87</v>
      </c>
      <c r="N68">
        <v>41.08</v>
      </c>
      <c r="O68">
        <v>1</v>
      </c>
      <c r="P68">
        <v>1</v>
      </c>
      <c r="R68" t="s">
        <v>83</v>
      </c>
      <c r="S68" t="s">
        <v>85</v>
      </c>
    </row>
    <row r="69" spans="1:21" x14ac:dyDescent="0.25">
      <c r="A69">
        <v>68</v>
      </c>
      <c r="B69" t="str">
        <f>HYPERLINK("https://imapinvasives.natureserve.org/imap/services/page/Presence/1157398.html", "View")</f>
        <v>View</v>
      </c>
      <c r="C69">
        <v>1157398</v>
      </c>
      <c r="D69">
        <v>1164438</v>
      </c>
      <c r="E69" t="str">
        <f>HYPERLINK("http://imap3images.s3-website-us-east-1.amazonaws.com/1164438/p/imap_app_photo_1628611653916.jpg", "View")</f>
        <v>View</v>
      </c>
      <c r="F69" t="s">
        <v>18</v>
      </c>
      <c r="G69" t="s">
        <v>19</v>
      </c>
      <c r="H69">
        <v>56061</v>
      </c>
      <c r="I69" t="str">
        <f>HYPERLINK("https://www.inaturalist.org/taxa/81594-Elymus-hystrix", "View")</f>
        <v>View</v>
      </c>
      <c r="J69" t="s">
        <v>53</v>
      </c>
      <c r="K69" t="s">
        <v>54</v>
      </c>
      <c r="L69">
        <v>81594</v>
      </c>
      <c r="M69">
        <v>6.77</v>
      </c>
      <c r="N69">
        <v>9.5</v>
      </c>
      <c r="O69">
        <v>0</v>
      </c>
      <c r="P69">
        <v>0</v>
      </c>
      <c r="R69" t="s">
        <v>89</v>
      </c>
      <c r="S69" t="s">
        <v>90</v>
      </c>
      <c r="U69" t="s">
        <v>55</v>
      </c>
    </row>
    <row r="70" spans="1:21" x14ac:dyDescent="0.25">
      <c r="A70">
        <v>69</v>
      </c>
      <c r="B70" t="str">
        <f>HYPERLINK("https://imapinvasives.natureserve.org/imap/services/page/Presence/1280618.html", "View")</f>
        <v>View</v>
      </c>
      <c r="C70">
        <v>1280618</v>
      </c>
      <c r="D70">
        <v>1290009</v>
      </c>
      <c r="E70" t="str">
        <f>HYPERLINK("http://imap3images.s3-website-us-east-1.amazonaws.com/1290009/p/Photo_1.jpg", "View")</f>
        <v>View</v>
      </c>
      <c r="F70" t="s">
        <v>18</v>
      </c>
      <c r="G70" t="s">
        <v>19</v>
      </c>
      <c r="H70">
        <v>56061</v>
      </c>
      <c r="I70" t="str">
        <f>HYPERLINK("https://www.inaturalist.org/taxa/55981-Lapsana-communis", "View")</f>
        <v>View</v>
      </c>
      <c r="J70" t="s">
        <v>56</v>
      </c>
      <c r="K70" t="s">
        <v>57</v>
      </c>
      <c r="L70">
        <v>55981</v>
      </c>
      <c r="M70">
        <v>11.03</v>
      </c>
      <c r="N70">
        <v>54.25</v>
      </c>
      <c r="O70">
        <v>1</v>
      </c>
      <c r="P70">
        <v>0</v>
      </c>
      <c r="R70" t="s">
        <v>83</v>
      </c>
      <c r="S70" t="s">
        <v>84</v>
      </c>
    </row>
    <row r="71" spans="1:21" x14ac:dyDescent="0.25">
      <c r="A71">
        <v>70</v>
      </c>
      <c r="B71" t="str">
        <f>HYPERLINK("https://imapinvasives.natureserve.org/imap/services/page/Presence/1274138.html", "View")</f>
        <v>View</v>
      </c>
      <c r="C71">
        <v>1274138</v>
      </c>
      <c r="D71">
        <v>1283344</v>
      </c>
      <c r="E71" t="str">
        <f>HYPERLINK("http://imap3images.s3-website-us-east-1.amazonaws.com/1283344/p/imap_app_photo_1655076250679.jpg", "View")</f>
        <v>View</v>
      </c>
      <c r="F71" t="s">
        <v>18</v>
      </c>
      <c r="G71" t="s">
        <v>19</v>
      </c>
      <c r="H71">
        <v>56061</v>
      </c>
      <c r="I71" t="str">
        <f>HYPERLINK("https://www.inaturalist.org/taxa/56061-Alliaria-petiolata", "View")</f>
        <v>View</v>
      </c>
      <c r="J71" t="s">
        <v>18</v>
      </c>
      <c r="K71" t="s">
        <v>20</v>
      </c>
      <c r="L71">
        <v>56061</v>
      </c>
      <c r="M71">
        <v>48.45</v>
      </c>
      <c r="N71">
        <v>38.76</v>
      </c>
      <c r="O71">
        <v>1</v>
      </c>
      <c r="P71">
        <v>1</v>
      </c>
      <c r="R71" t="s">
        <v>83</v>
      </c>
      <c r="S71" t="s">
        <v>92</v>
      </c>
    </row>
    <row r="72" spans="1:21" x14ac:dyDescent="0.25">
      <c r="A72">
        <v>71</v>
      </c>
      <c r="B72" t="str">
        <f>HYPERLINK("https://imapinvasives.natureserve.org/imap/services/page/Presence/1398693.html", "View")</f>
        <v>View</v>
      </c>
      <c r="C72">
        <v>1398693</v>
      </c>
      <c r="D72">
        <v>1415785</v>
      </c>
      <c r="E72" t="str">
        <f>HYPERLINK("http://imap3images.s3-website-us-east-1.amazonaws.com/1415785/p/imap_app_photo_1715474599852.jpg", "View")</f>
        <v>View</v>
      </c>
      <c r="F72" t="s">
        <v>18</v>
      </c>
      <c r="G72" t="s">
        <v>19</v>
      </c>
      <c r="H72">
        <v>56061</v>
      </c>
      <c r="I72" t="str">
        <f>HYPERLINK("https://www.inaturalist.org/taxa/56061-Alliaria-petiolata", "View")</f>
        <v>View</v>
      </c>
      <c r="J72" t="s">
        <v>18</v>
      </c>
      <c r="K72" t="s">
        <v>20</v>
      </c>
      <c r="L72">
        <v>56061</v>
      </c>
      <c r="M72">
        <v>42.62</v>
      </c>
      <c r="N72">
        <v>99.94</v>
      </c>
      <c r="O72">
        <v>1</v>
      </c>
      <c r="P72">
        <v>1</v>
      </c>
      <c r="R72" t="s">
        <v>83</v>
      </c>
      <c r="S72" t="s">
        <v>84</v>
      </c>
    </row>
    <row r="73" spans="1:21" x14ac:dyDescent="0.25">
      <c r="A73">
        <v>72</v>
      </c>
      <c r="B73" t="str">
        <f>HYPERLINK("https://imapinvasives.natureserve.org/imap/services/page/Presence/496138.html", "View")</f>
        <v>View</v>
      </c>
      <c r="C73">
        <v>496138</v>
      </c>
      <c r="D73">
        <v>496138</v>
      </c>
      <c r="E73" t="str">
        <f>HYPERLINK("http://imap3images.s3-website-us-east-1.amazonaws.com/496138/p/photourl1_2016_10_17_julgrinstead_8oz86628.jpg", "View")</f>
        <v>View</v>
      </c>
      <c r="F73" t="s">
        <v>18</v>
      </c>
      <c r="G73" t="s">
        <v>19</v>
      </c>
      <c r="H73">
        <v>56061</v>
      </c>
      <c r="I73" t="str">
        <f>HYPERLINK("https://www.inaturalist.org/taxa/56061-Alliaria-petiolata", "View")</f>
        <v>View</v>
      </c>
      <c r="J73" t="s">
        <v>18</v>
      </c>
      <c r="K73" t="s">
        <v>20</v>
      </c>
      <c r="L73">
        <v>56061</v>
      </c>
      <c r="M73">
        <v>42.62</v>
      </c>
      <c r="N73">
        <v>99.2</v>
      </c>
      <c r="O73">
        <v>1</v>
      </c>
      <c r="P73">
        <v>1</v>
      </c>
      <c r="R73" t="s">
        <v>83</v>
      </c>
      <c r="S73" t="s">
        <v>84</v>
      </c>
    </row>
    <row r="74" spans="1:21" x14ac:dyDescent="0.25">
      <c r="A74">
        <v>73</v>
      </c>
      <c r="B74" t="str">
        <f>HYPERLINK("https://imapinvasives.natureserve.org/imap/services/page/Presence/1023101.html", "View")</f>
        <v>View</v>
      </c>
      <c r="C74">
        <v>1023101</v>
      </c>
      <c r="D74">
        <v>1023672</v>
      </c>
      <c r="E74" t="str">
        <f>HYPERLINK("http://imap3images.s3-website-us-east-1.amazonaws.com/1023672/p/Photo3-20180618-155944.jpg", "View")</f>
        <v>View</v>
      </c>
      <c r="F74" t="s">
        <v>18</v>
      </c>
      <c r="G74" t="s">
        <v>19</v>
      </c>
      <c r="H74">
        <v>56061</v>
      </c>
      <c r="I74" t="str">
        <f>HYPERLINK("https://www.inaturalist.org/taxa/56061-Alliaria-petiolata", "View")</f>
        <v>View</v>
      </c>
      <c r="J74" t="s">
        <v>18</v>
      </c>
      <c r="K74" t="s">
        <v>20</v>
      </c>
      <c r="L74">
        <v>56061</v>
      </c>
      <c r="M74">
        <v>71.150000000000006</v>
      </c>
      <c r="N74">
        <v>78.95</v>
      </c>
      <c r="O74">
        <v>1</v>
      </c>
      <c r="P74">
        <v>1</v>
      </c>
      <c r="R74" t="s">
        <v>83</v>
      </c>
      <c r="S74" t="s">
        <v>86</v>
      </c>
    </row>
    <row r="75" spans="1:21" x14ac:dyDescent="0.25">
      <c r="A75">
        <v>74</v>
      </c>
      <c r="B75" t="str">
        <f>HYPERLINK("https://imapinvasives.natureserve.org/imap/services/page/Presence/1162808.html", "View")</f>
        <v>View</v>
      </c>
      <c r="C75">
        <v>1162808</v>
      </c>
      <c r="D75">
        <v>1169984</v>
      </c>
      <c r="E75" t="str">
        <f>HYPERLINK("http://imap3images.s3-website-us-east-1.amazonaws.com/1169984/p/D3A9BF6D-534D-443F-8E66-56502E665BC2.jpeg", "View")</f>
        <v>View</v>
      </c>
      <c r="F75" t="s">
        <v>18</v>
      </c>
      <c r="G75" t="s">
        <v>19</v>
      </c>
      <c r="H75">
        <v>56061</v>
      </c>
      <c r="I75" t="str">
        <f>HYPERLINK("https://www.inaturalist.org/taxa/58727-Berberis-thunbergii", "View")</f>
        <v>View</v>
      </c>
      <c r="J75" t="s">
        <v>58</v>
      </c>
      <c r="K75" t="s">
        <v>59</v>
      </c>
      <c r="L75">
        <v>58727</v>
      </c>
      <c r="M75">
        <v>13.25</v>
      </c>
      <c r="N75">
        <v>31.77</v>
      </c>
      <c r="O75">
        <v>0</v>
      </c>
      <c r="P75">
        <v>0</v>
      </c>
      <c r="R75" t="s">
        <v>93</v>
      </c>
      <c r="S75" t="s">
        <v>85</v>
      </c>
      <c r="U75" t="s">
        <v>29</v>
      </c>
    </row>
    <row r="76" spans="1:21" x14ac:dyDescent="0.25">
      <c r="A76">
        <v>75</v>
      </c>
      <c r="B76" t="str">
        <f>HYPERLINK("https://imapinvasives.natureserve.org/imap/services/page/Presence/1299159.html", "View")</f>
        <v>View</v>
      </c>
      <c r="C76">
        <v>1299159</v>
      </c>
      <c r="D76">
        <v>1309493</v>
      </c>
      <c r="E76" t="str">
        <f>HYPERLINK("http://imap3images.s3-website-us-east-1.amazonaws.com/1309493/p/imap_app_photo_1666103584190.jpg", "View")</f>
        <v>View</v>
      </c>
      <c r="F76" t="s">
        <v>18</v>
      </c>
      <c r="G76" t="s">
        <v>19</v>
      </c>
      <c r="H76">
        <v>56061</v>
      </c>
      <c r="I76" t="str">
        <f>HYPERLINK("https://www.inaturalist.org/taxa/83073-Solidago-gigantea", "View")</f>
        <v>View</v>
      </c>
      <c r="J76" t="s">
        <v>60</v>
      </c>
      <c r="K76" t="s">
        <v>61</v>
      </c>
      <c r="L76">
        <v>83073</v>
      </c>
      <c r="M76">
        <v>3.82</v>
      </c>
      <c r="N76">
        <v>8.43</v>
      </c>
      <c r="O76">
        <v>0</v>
      </c>
      <c r="P76">
        <v>0</v>
      </c>
      <c r="R76" t="s">
        <v>89</v>
      </c>
      <c r="S76" t="s">
        <v>90</v>
      </c>
      <c r="U76" t="s">
        <v>62</v>
      </c>
    </row>
    <row r="77" spans="1:21" x14ac:dyDescent="0.25">
      <c r="A77">
        <v>76</v>
      </c>
      <c r="B77" t="str">
        <f>HYPERLINK("https://imapinvasives.natureserve.org/imap/services/page/Presence/1417252.html", "View")</f>
        <v>View</v>
      </c>
      <c r="C77">
        <v>1417252</v>
      </c>
      <c r="D77">
        <v>1430900</v>
      </c>
      <c r="E77" t="str">
        <f>HYPERLINK("http://imap3images.s3-website-us-east-1.amazonaws.com/1430900/p/imap_app_photo_1720636449513.jpg", "View")</f>
        <v>View</v>
      </c>
      <c r="F77" t="s">
        <v>18</v>
      </c>
      <c r="G77" t="s">
        <v>19</v>
      </c>
      <c r="H77">
        <v>56061</v>
      </c>
      <c r="I77" t="str">
        <f>HYPERLINK("https://www.inaturalist.org/taxa/60746-Smilax-rotundifolia", "View")</f>
        <v>View</v>
      </c>
      <c r="J77" t="s">
        <v>63</v>
      </c>
      <c r="K77" t="s">
        <v>64</v>
      </c>
      <c r="L77">
        <v>60746</v>
      </c>
      <c r="M77">
        <v>34.35</v>
      </c>
      <c r="N77">
        <v>20.69</v>
      </c>
      <c r="O77">
        <v>0</v>
      </c>
      <c r="P77">
        <v>0</v>
      </c>
      <c r="R77" t="s">
        <v>89</v>
      </c>
      <c r="S77" t="s">
        <v>90</v>
      </c>
      <c r="U77" t="s">
        <v>35</v>
      </c>
    </row>
    <row r="78" spans="1:21" x14ac:dyDescent="0.25">
      <c r="A78">
        <v>77</v>
      </c>
      <c r="B78" t="str">
        <f>HYPERLINK("https://imapinvasives.natureserve.org/imap/services/page/Presence/1332155.html", "View")</f>
        <v>View</v>
      </c>
      <c r="C78">
        <v>1332155</v>
      </c>
      <c r="D78">
        <v>1345914</v>
      </c>
      <c r="E78" t="str">
        <f>HYPERLINK("http://imap3images.s3-website-us-east-1.amazonaws.com/1345914/p/imap_app_photo_1685139007715.jpg", "View")</f>
        <v>View</v>
      </c>
      <c r="F78" t="s">
        <v>18</v>
      </c>
      <c r="G78" t="s">
        <v>19</v>
      </c>
      <c r="H78">
        <v>56061</v>
      </c>
      <c r="I78" t="str">
        <f>HYPERLINK("https://www.inaturalist.org/taxa/56061-Alliaria-petiolata", "View")</f>
        <v>View</v>
      </c>
      <c r="J78" t="s">
        <v>18</v>
      </c>
      <c r="K78" t="s">
        <v>20</v>
      </c>
      <c r="L78">
        <v>56061</v>
      </c>
      <c r="M78">
        <v>51.26</v>
      </c>
      <c r="N78">
        <v>92.82</v>
      </c>
      <c r="O78">
        <v>1</v>
      </c>
      <c r="P78">
        <v>1</v>
      </c>
      <c r="R78" t="s">
        <v>83</v>
      </c>
      <c r="S78" t="s">
        <v>84</v>
      </c>
    </row>
    <row r="79" spans="1:21" x14ac:dyDescent="0.25">
      <c r="A79">
        <v>78</v>
      </c>
      <c r="B79" t="str">
        <f>HYPERLINK("https://imapinvasives.natureserve.org/imap/services/page/Presence/491647.html", "View")</f>
        <v>View</v>
      </c>
      <c r="C79">
        <v>491647</v>
      </c>
      <c r="D79">
        <v>491647</v>
      </c>
      <c r="E79" t="str">
        <f>HYPERLINK("http://imap3images.s3-website-us-east-1.amazonaws.com/491647/p/photourl1_2016_06_14_tylchristensen_cmxdloz2.jpg", "View")</f>
        <v>View</v>
      </c>
      <c r="F79" t="s">
        <v>18</v>
      </c>
      <c r="G79" t="s">
        <v>19</v>
      </c>
      <c r="H79">
        <v>56061</v>
      </c>
      <c r="I79" t="str">
        <f>HYPERLINK("https://www.inaturalist.org/taxa/56061-Alliaria-petiolata", "View")</f>
        <v>View</v>
      </c>
      <c r="J79" t="s">
        <v>18</v>
      </c>
      <c r="K79" t="s">
        <v>20</v>
      </c>
      <c r="L79">
        <v>56061</v>
      </c>
      <c r="M79">
        <v>45.83</v>
      </c>
      <c r="N79">
        <v>92.69</v>
      </c>
      <c r="O79">
        <v>1</v>
      </c>
      <c r="P79">
        <v>1</v>
      </c>
      <c r="R79" t="s">
        <v>83</v>
      </c>
      <c r="S79" t="s">
        <v>84</v>
      </c>
    </row>
    <row r="80" spans="1:21" x14ac:dyDescent="0.25">
      <c r="A80">
        <v>79</v>
      </c>
      <c r="B80" t="str">
        <f>HYPERLINK("https://imapinvasives.natureserve.org/imap/services/page/Presence/1054833.html", "View")</f>
        <v>View</v>
      </c>
      <c r="C80">
        <v>1054833</v>
      </c>
      <c r="D80">
        <v>1059173</v>
      </c>
      <c r="E80" t="str">
        <f>HYPERLINK("http://imap3images.s3-website-us-east-1.amazonaws.com/1059173/p/imap_app_photo_1594227584427.jpg", "View")</f>
        <v>View</v>
      </c>
      <c r="F80" t="s">
        <v>18</v>
      </c>
      <c r="G80" t="s">
        <v>19</v>
      </c>
      <c r="H80">
        <v>56061</v>
      </c>
      <c r="I80" t="str">
        <f>HYPERLINK("https://www.inaturalist.org/taxa/56061-Alliaria-petiolata", "View")</f>
        <v>View</v>
      </c>
      <c r="J80" t="s">
        <v>18</v>
      </c>
      <c r="K80" t="s">
        <v>20</v>
      </c>
      <c r="L80">
        <v>56061</v>
      </c>
      <c r="M80">
        <v>43.48</v>
      </c>
      <c r="N80">
        <v>99.92</v>
      </c>
      <c r="O80">
        <v>1</v>
      </c>
      <c r="P80">
        <v>1</v>
      </c>
      <c r="R80" t="s">
        <v>83</v>
      </c>
      <c r="S80" t="s">
        <v>84</v>
      </c>
    </row>
    <row r="81" spans="1:21" x14ac:dyDescent="0.25">
      <c r="A81">
        <v>80</v>
      </c>
      <c r="B81" t="str">
        <f>HYPERLINK("https://imapinvasives.natureserve.org/imap/services/page/Presence/1269659.html", "View")</f>
        <v>View</v>
      </c>
      <c r="C81">
        <v>1269659</v>
      </c>
      <c r="D81">
        <v>1278588</v>
      </c>
      <c r="E81" t="str">
        <f>HYPERLINK("http://imap3images.s3-website-us-east-1.amazonaws.com/1278588/p/imap_app_photo_1649866689744.jpg", "View")</f>
        <v>View</v>
      </c>
      <c r="F81" t="s">
        <v>18</v>
      </c>
      <c r="G81" t="s">
        <v>19</v>
      </c>
      <c r="H81">
        <v>56061</v>
      </c>
      <c r="I81" t="str">
        <f>HYPERLINK("https://www.inaturalist.org/taxa/56061-Alliaria-petiolata", "View")</f>
        <v>View</v>
      </c>
      <c r="J81" t="s">
        <v>18</v>
      </c>
      <c r="K81" t="s">
        <v>20</v>
      </c>
      <c r="L81">
        <v>56061</v>
      </c>
      <c r="M81">
        <v>39.44</v>
      </c>
      <c r="N81">
        <v>99.92</v>
      </c>
      <c r="O81">
        <v>1</v>
      </c>
      <c r="P81">
        <v>1</v>
      </c>
      <c r="R81" t="s">
        <v>83</v>
      </c>
      <c r="S81" t="s">
        <v>84</v>
      </c>
    </row>
    <row r="82" spans="1:21" x14ac:dyDescent="0.25">
      <c r="A82">
        <v>81</v>
      </c>
      <c r="B82" t="str">
        <f>HYPERLINK("https://imapinvasives.natureserve.org/imap/services/page/Presence/491642.html", "View")</f>
        <v>View</v>
      </c>
      <c r="C82">
        <v>491642</v>
      </c>
      <c r="D82">
        <v>491642</v>
      </c>
      <c r="E82" t="str">
        <f>HYPERLINK("http://imap3images.s3-website-us-east-1.amazonaws.com/491642/p/photourl1_2016_06_14_tylchristensen_hwu0yghe.jpg", "View")</f>
        <v>View</v>
      </c>
      <c r="F82" t="s">
        <v>18</v>
      </c>
      <c r="G82" t="s">
        <v>19</v>
      </c>
      <c r="H82">
        <v>56061</v>
      </c>
      <c r="I82" t="str">
        <f>HYPERLINK("https://www.inaturalist.org/taxa/55981-Lapsana-communis", "View")</f>
        <v>View</v>
      </c>
      <c r="J82" t="s">
        <v>56</v>
      </c>
      <c r="K82" t="s">
        <v>57</v>
      </c>
      <c r="L82">
        <v>55981</v>
      </c>
      <c r="M82">
        <v>20.49</v>
      </c>
      <c r="N82">
        <v>43.67</v>
      </c>
      <c r="O82">
        <v>0</v>
      </c>
      <c r="P82">
        <v>0</v>
      </c>
      <c r="R82" t="s">
        <v>89</v>
      </c>
      <c r="S82" t="s">
        <v>86</v>
      </c>
      <c r="U82" t="s">
        <v>65</v>
      </c>
    </row>
    <row r="83" spans="1:21" x14ac:dyDescent="0.25">
      <c r="A83">
        <v>82</v>
      </c>
      <c r="B83" t="str">
        <f>HYPERLINK("https://imapinvasives.natureserve.org/imap/services/page/Presence/1283044.html", "View")</f>
        <v>View</v>
      </c>
      <c r="C83">
        <v>1283044</v>
      </c>
      <c r="D83">
        <v>1292546</v>
      </c>
      <c r="E83" t="str">
        <f>HYPERLINK("http://imap3images.s3-website-us-east-1.amazonaws.com/1292546/p/Photo_1.jpg", "View")</f>
        <v>View</v>
      </c>
      <c r="F83" t="s">
        <v>18</v>
      </c>
      <c r="G83" t="s">
        <v>19</v>
      </c>
      <c r="H83">
        <v>56061</v>
      </c>
      <c r="I83" t="str">
        <f>HYPERLINK("https://www.inaturalist.org/taxa/76942-Erigeron-strigosus", "View")</f>
        <v>View</v>
      </c>
      <c r="J83" t="s">
        <v>66</v>
      </c>
      <c r="K83" t="s">
        <v>67</v>
      </c>
      <c r="L83">
        <v>76942</v>
      </c>
      <c r="M83">
        <v>17.32</v>
      </c>
      <c r="N83">
        <v>53.9</v>
      </c>
      <c r="O83">
        <v>0</v>
      </c>
      <c r="P83">
        <v>0</v>
      </c>
      <c r="R83" t="s">
        <v>93</v>
      </c>
      <c r="S83" t="s">
        <v>87</v>
      </c>
      <c r="U83" t="s">
        <v>68</v>
      </c>
    </row>
    <row r="84" spans="1:21" x14ac:dyDescent="0.25">
      <c r="A84">
        <v>83</v>
      </c>
      <c r="B84" t="str">
        <f>HYPERLINK("https://imapinvasives.natureserve.org/imap/services/page/Presence/1014374.html", "View")</f>
        <v>View</v>
      </c>
      <c r="C84">
        <v>1014374</v>
      </c>
      <c r="D84">
        <v>1014639</v>
      </c>
      <c r="E84" t="str">
        <f>HYPERLINK("http://imap3images.s3-website-us-east-1.amazonaws.com/1014639/p/imap_app_photo_1558718754785.jpg", "View")</f>
        <v>View</v>
      </c>
      <c r="F84" t="s">
        <v>18</v>
      </c>
      <c r="G84" t="s">
        <v>19</v>
      </c>
      <c r="H84">
        <v>56061</v>
      </c>
      <c r="I84" t="str">
        <f>HYPERLINK("https://www.inaturalist.org/taxa/56061-Alliaria-petiolata", "View")</f>
        <v>View</v>
      </c>
      <c r="J84" t="s">
        <v>18</v>
      </c>
      <c r="K84" t="s">
        <v>20</v>
      </c>
      <c r="L84">
        <v>56061</v>
      </c>
      <c r="M84">
        <v>61.18</v>
      </c>
      <c r="N84">
        <v>25.85</v>
      </c>
      <c r="O84">
        <v>1</v>
      </c>
      <c r="P84">
        <v>1</v>
      </c>
      <c r="R84" t="s">
        <v>83</v>
      </c>
      <c r="S84" t="s">
        <v>85</v>
      </c>
      <c r="U84" t="s">
        <v>35</v>
      </c>
    </row>
    <row r="85" spans="1:21" x14ac:dyDescent="0.25">
      <c r="A85">
        <v>84</v>
      </c>
      <c r="B85" t="str">
        <f>HYPERLINK("https://imapinvasives.natureserve.org/imap/services/page/Presence/1279625.html", "View")</f>
        <v>View</v>
      </c>
      <c r="C85">
        <v>1279625</v>
      </c>
      <c r="D85">
        <v>1288989</v>
      </c>
      <c r="E85" t="str">
        <f>HYPERLINK("http://imap3images.s3-website-us-east-1.amazonaws.com/1288989/p/imap_app_photo_1656081659983.jpg", "View")</f>
        <v>View</v>
      </c>
      <c r="F85" t="s">
        <v>18</v>
      </c>
      <c r="G85" t="s">
        <v>19</v>
      </c>
      <c r="H85">
        <v>56061</v>
      </c>
      <c r="I85" t="str">
        <f>HYPERLINK("https://www.inaturalist.org/taxa/79475-Valeriana-occidentalis", "View")</f>
        <v>View</v>
      </c>
      <c r="J85" t="s">
        <v>69</v>
      </c>
      <c r="K85" t="s">
        <v>70</v>
      </c>
      <c r="L85">
        <v>79475</v>
      </c>
      <c r="M85">
        <v>0.01</v>
      </c>
      <c r="N85">
        <v>25.24</v>
      </c>
      <c r="O85">
        <v>0</v>
      </c>
      <c r="P85">
        <v>0</v>
      </c>
      <c r="R85" t="s">
        <v>93</v>
      </c>
      <c r="S85" t="s">
        <v>85</v>
      </c>
      <c r="U85" t="s">
        <v>71</v>
      </c>
    </row>
    <row r="86" spans="1:21" x14ac:dyDescent="0.25">
      <c r="A86">
        <v>85</v>
      </c>
      <c r="B86" t="str">
        <f>HYPERLINK("https://imapinvasives.natureserve.org/imap/services/page/Presence/1291908.html", "View")</f>
        <v>View</v>
      </c>
      <c r="C86">
        <v>1291908</v>
      </c>
      <c r="D86">
        <v>1302113</v>
      </c>
      <c r="E86" t="str">
        <f>HYPERLINK("http://imap3images.s3-website-us-east-1.amazonaws.com/1302113/p/imap_app_photo_1663086642815.jpg", "View")</f>
        <v>View</v>
      </c>
      <c r="F86" t="s">
        <v>18</v>
      </c>
      <c r="G86" t="s">
        <v>19</v>
      </c>
      <c r="H86">
        <v>56061</v>
      </c>
      <c r="I86" t="str">
        <f>HYPERLINK("https://www.inaturalist.org/taxa/58732-Toxicodendron-radicans", "View")</f>
        <v>View</v>
      </c>
      <c r="J86" t="s">
        <v>72</v>
      </c>
      <c r="K86" t="s">
        <v>73</v>
      </c>
      <c r="L86">
        <v>58732</v>
      </c>
      <c r="M86">
        <v>16.91</v>
      </c>
      <c r="N86">
        <v>14.33</v>
      </c>
      <c r="O86">
        <v>0</v>
      </c>
      <c r="P86">
        <v>0</v>
      </c>
      <c r="R86" t="s">
        <v>89</v>
      </c>
      <c r="S86" t="s">
        <v>90</v>
      </c>
      <c r="U86" t="s">
        <v>74</v>
      </c>
    </row>
    <row r="87" spans="1:21" x14ac:dyDescent="0.25">
      <c r="A87">
        <v>86</v>
      </c>
      <c r="B87" t="str">
        <f>HYPERLINK("https://imapinvasives.natureserve.org/imap/services/page/Presence/528049.html", "View")</f>
        <v>View</v>
      </c>
      <c r="C87">
        <v>528049</v>
      </c>
      <c r="D87">
        <v>528049</v>
      </c>
      <c r="E87" t="str">
        <f>HYPERLINK("http://imap3images.s3-website-us-east-1.amazonaws.com/528049/p/photourl1_2018_07_05_elllapine_mom6e7y5.jpg", "View")</f>
        <v>View</v>
      </c>
      <c r="F87" t="s">
        <v>18</v>
      </c>
      <c r="G87" t="s">
        <v>19</v>
      </c>
      <c r="H87">
        <v>56061</v>
      </c>
      <c r="I87" t="str">
        <f>HYPERLINK("https://www.inaturalist.org/taxa/56061-Alliaria-petiolata", "View")</f>
        <v>View</v>
      </c>
      <c r="J87" t="s">
        <v>18</v>
      </c>
      <c r="K87" t="s">
        <v>20</v>
      </c>
      <c r="L87">
        <v>56061</v>
      </c>
      <c r="M87">
        <v>46.91</v>
      </c>
      <c r="N87">
        <v>85.49</v>
      </c>
      <c r="O87">
        <v>1</v>
      </c>
      <c r="P87">
        <v>1</v>
      </c>
      <c r="R87" t="s">
        <v>83</v>
      </c>
      <c r="S87" t="s">
        <v>84</v>
      </c>
    </row>
    <row r="88" spans="1:21" x14ac:dyDescent="0.25">
      <c r="A88">
        <v>87</v>
      </c>
      <c r="B88" t="str">
        <f>HYPERLINK("https://imapinvasives.natureserve.org/imap/services/page/Presence/1014103.html", "View")</f>
        <v>View</v>
      </c>
      <c r="C88">
        <v>1014103</v>
      </c>
      <c r="D88">
        <v>1014367</v>
      </c>
      <c r="E88" t="str">
        <f>HYPERLINK("http://imap3images.s3-website-us-east-1.amazonaws.com/1014367/p/imap_app_photo_1558547089923.jpg", "View")</f>
        <v>View</v>
      </c>
      <c r="F88" t="s">
        <v>18</v>
      </c>
      <c r="G88" t="s">
        <v>19</v>
      </c>
      <c r="H88">
        <v>56061</v>
      </c>
      <c r="I88" t="str">
        <f>HYPERLINK("https://www.inaturalist.org/taxa/56061-Alliaria-petiolata", "View")</f>
        <v>View</v>
      </c>
      <c r="J88" t="s">
        <v>18</v>
      </c>
      <c r="K88" t="s">
        <v>20</v>
      </c>
      <c r="L88">
        <v>56061</v>
      </c>
      <c r="M88">
        <v>49.72</v>
      </c>
      <c r="N88">
        <v>99.97</v>
      </c>
      <c r="O88">
        <v>1</v>
      </c>
      <c r="P88">
        <v>1</v>
      </c>
      <c r="R88" t="s">
        <v>83</v>
      </c>
      <c r="S88" t="s">
        <v>84</v>
      </c>
    </row>
    <row r="89" spans="1:21" x14ac:dyDescent="0.25">
      <c r="A89">
        <v>88</v>
      </c>
      <c r="B89" t="str">
        <f>HYPERLINK("https://imapinvasives.natureserve.org/imap/services/page/Presence/1044982.html", "View")</f>
        <v>View</v>
      </c>
      <c r="C89">
        <v>1044982</v>
      </c>
      <c r="D89">
        <v>1048862</v>
      </c>
      <c r="E89" t="str">
        <f>HYPERLINK("http://imap3images.s3-website-us-east-1.amazonaws.com/1048862/p/imap_app_photo_1587434301366.jpg", "View")</f>
        <v>View</v>
      </c>
      <c r="F89" t="s">
        <v>18</v>
      </c>
      <c r="G89" t="s">
        <v>19</v>
      </c>
      <c r="H89">
        <v>56061</v>
      </c>
      <c r="I89" t="str">
        <f>HYPERLINK("https://www.inaturalist.org/taxa/56061-Alliaria-petiolata", "View")</f>
        <v>View</v>
      </c>
      <c r="J89" t="s">
        <v>18</v>
      </c>
      <c r="K89" t="s">
        <v>20</v>
      </c>
      <c r="L89">
        <v>56061</v>
      </c>
      <c r="M89">
        <v>38.26</v>
      </c>
      <c r="N89">
        <v>97.15</v>
      </c>
      <c r="O89">
        <v>1</v>
      </c>
      <c r="P89">
        <v>1</v>
      </c>
      <c r="R89" t="s">
        <v>83</v>
      </c>
      <c r="S89" t="s">
        <v>84</v>
      </c>
    </row>
    <row r="90" spans="1:21" x14ac:dyDescent="0.25">
      <c r="A90">
        <v>89</v>
      </c>
      <c r="B90" t="str">
        <f>HYPERLINK("https://imapinvasives.natureserve.org/imap/services/page/Presence/511342.html", "View")</f>
        <v>View</v>
      </c>
      <c r="C90">
        <v>511342</v>
      </c>
      <c r="D90">
        <v>511342</v>
      </c>
      <c r="E90" t="str">
        <f>HYPERLINK("http://imap3images.s3-website-us-east-1.amazonaws.com/511342/p/photourl1_2017_05_30_casbradshaw_w34h29h6.jpg", "View")</f>
        <v>View</v>
      </c>
      <c r="F90" t="s">
        <v>18</v>
      </c>
      <c r="G90" t="s">
        <v>19</v>
      </c>
      <c r="H90">
        <v>56061</v>
      </c>
      <c r="I90" t="str">
        <f>HYPERLINK("https://www.inaturalist.org/taxa/56061-Alliaria-petiolata", "View")</f>
        <v>View</v>
      </c>
      <c r="J90" t="s">
        <v>18</v>
      </c>
      <c r="K90" t="s">
        <v>20</v>
      </c>
      <c r="L90">
        <v>56061</v>
      </c>
      <c r="M90">
        <v>61.18</v>
      </c>
      <c r="N90">
        <v>81.16</v>
      </c>
      <c r="O90">
        <v>1</v>
      </c>
      <c r="P90">
        <v>1</v>
      </c>
      <c r="R90" t="s">
        <v>83</v>
      </c>
      <c r="S90" t="s">
        <v>84</v>
      </c>
    </row>
    <row r="91" spans="1:21" x14ac:dyDescent="0.25">
      <c r="A91">
        <v>90</v>
      </c>
      <c r="B91" t="str">
        <f>HYPERLINK("https://imapinvasives.natureserve.org/imap/services/page/Presence/1047050.html", "View")</f>
        <v>View</v>
      </c>
      <c r="C91">
        <v>1047050</v>
      </c>
      <c r="D91">
        <v>1050997</v>
      </c>
      <c r="E91" t="str">
        <f>HYPERLINK("http://imap3images.s3-website-us-east-1.amazonaws.com/1050997/p/imap_app_photo_1590633518718.jpg", "View")</f>
        <v>View</v>
      </c>
      <c r="F91" t="s">
        <v>18</v>
      </c>
      <c r="G91" t="s">
        <v>19</v>
      </c>
      <c r="H91">
        <v>56061</v>
      </c>
      <c r="I91" t="str">
        <f>HYPERLINK("https://www.inaturalist.org/taxa/82816-Viola-sororia", "View")</f>
        <v>View</v>
      </c>
      <c r="J91" t="s">
        <v>75</v>
      </c>
      <c r="K91" t="s">
        <v>76</v>
      </c>
      <c r="L91">
        <v>82816</v>
      </c>
      <c r="M91">
        <v>77.3</v>
      </c>
      <c r="N91">
        <v>19.75</v>
      </c>
      <c r="O91">
        <v>1</v>
      </c>
      <c r="P91">
        <v>0</v>
      </c>
      <c r="R91" t="s">
        <v>93</v>
      </c>
      <c r="S91" t="s">
        <v>85</v>
      </c>
      <c r="U91" t="s">
        <v>77</v>
      </c>
    </row>
    <row r="92" spans="1:21" x14ac:dyDescent="0.25">
      <c r="A92">
        <v>91</v>
      </c>
      <c r="B92" t="str">
        <f>HYPERLINK("https://imapinvasives.natureserve.org/imap/services/page/Presence/1121067.html", "View")</f>
        <v>View</v>
      </c>
      <c r="C92">
        <v>1121067</v>
      </c>
      <c r="D92">
        <v>1127229</v>
      </c>
      <c r="E92" t="str">
        <f>HYPERLINK("http://imap3images.s3-website-us-east-1.amazonaws.com/1127229/p/imap_app_photo_1616355789144.jpg", "View")</f>
        <v>View</v>
      </c>
      <c r="F92" t="s">
        <v>18</v>
      </c>
      <c r="G92" t="s">
        <v>19</v>
      </c>
      <c r="H92">
        <v>56061</v>
      </c>
      <c r="I92" t="str">
        <f>HYPERLINK("https://www.inaturalist.org/taxa/56061-Alliaria-petiolata", "View")</f>
        <v>View</v>
      </c>
      <c r="J92" t="s">
        <v>18</v>
      </c>
      <c r="K92" t="s">
        <v>20</v>
      </c>
      <c r="L92">
        <v>56061</v>
      </c>
      <c r="M92">
        <v>61.18</v>
      </c>
      <c r="N92">
        <v>80.25</v>
      </c>
      <c r="O92">
        <v>1</v>
      </c>
      <c r="P92">
        <v>1</v>
      </c>
      <c r="R92" t="s">
        <v>83</v>
      </c>
      <c r="S92" t="s">
        <v>84</v>
      </c>
    </row>
    <row r="93" spans="1:21" x14ac:dyDescent="0.25">
      <c r="A93">
        <v>92</v>
      </c>
      <c r="B93" t="str">
        <f>HYPERLINK("https://imapinvasives.natureserve.org/imap/services/page/Presence/335205.html", "View")</f>
        <v>View</v>
      </c>
      <c r="C93">
        <v>335205</v>
      </c>
      <c r="D93">
        <v>335205</v>
      </c>
      <c r="E93" t="str">
        <f>HYPERLINK("http://imap3images.s3-website-us-east-1.amazonaws.com/335205/p/photo1_2013_06_13_brijune_xzkerlak.jpg", "View")</f>
        <v>View</v>
      </c>
      <c r="F93" t="s">
        <v>18</v>
      </c>
      <c r="G93" t="s">
        <v>19</v>
      </c>
      <c r="H93">
        <v>56061</v>
      </c>
      <c r="I93" t="str">
        <f>HYPERLINK("https://www.inaturalist.org/taxa/146715-Arnoglossum-atriplicifolium", "View")</f>
        <v>View</v>
      </c>
      <c r="J93" t="s">
        <v>78</v>
      </c>
      <c r="K93" t="s">
        <v>79</v>
      </c>
      <c r="L93">
        <v>146715</v>
      </c>
      <c r="M93">
        <v>0.36</v>
      </c>
      <c r="N93">
        <v>33.79</v>
      </c>
      <c r="O93">
        <v>1</v>
      </c>
      <c r="P93">
        <v>0</v>
      </c>
      <c r="R93" t="s">
        <v>93</v>
      </c>
      <c r="S93" t="s">
        <v>88</v>
      </c>
    </row>
    <row r="94" spans="1:21" x14ac:dyDescent="0.25">
      <c r="A94">
        <v>93</v>
      </c>
      <c r="B94" t="str">
        <f>HYPERLINK("https://imapinvasives.natureserve.org/imap/services/page/Presence/1272894.html", "View")</f>
        <v>View</v>
      </c>
      <c r="C94">
        <v>1272894</v>
      </c>
      <c r="D94">
        <v>1281995</v>
      </c>
      <c r="E94" t="str">
        <f>HYPERLINK("http://imap3images.s3-website-us-east-1.amazonaws.com/1281995/p/imap_app_photo_1653574638705.jpg", "View")</f>
        <v>View</v>
      </c>
      <c r="F94" t="s">
        <v>18</v>
      </c>
      <c r="G94" t="s">
        <v>19</v>
      </c>
      <c r="H94">
        <v>56061</v>
      </c>
      <c r="I94" t="str">
        <f t="shared" ref="I94:I101" si="3">HYPERLINK("https://www.inaturalist.org/taxa/56061-Alliaria-petiolata", "View")</f>
        <v>View</v>
      </c>
      <c r="J94" t="s">
        <v>18</v>
      </c>
      <c r="K94" t="s">
        <v>20</v>
      </c>
      <c r="L94">
        <v>56061</v>
      </c>
      <c r="M94">
        <v>61.18</v>
      </c>
      <c r="N94">
        <v>96.31</v>
      </c>
      <c r="O94">
        <v>1</v>
      </c>
      <c r="P94">
        <v>1</v>
      </c>
      <c r="R94" t="s">
        <v>83</v>
      </c>
      <c r="S94" t="s">
        <v>84</v>
      </c>
    </row>
    <row r="95" spans="1:21" x14ac:dyDescent="0.25">
      <c r="A95">
        <v>94</v>
      </c>
      <c r="B95" t="str">
        <f>HYPERLINK("https://imapinvasives.natureserve.org/imap/services/page/Presence/1120090.html", "View")</f>
        <v>View</v>
      </c>
      <c r="C95">
        <v>1120090</v>
      </c>
      <c r="D95">
        <v>1126246</v>
      </c>
      <c r="E95" t="str">
        <f>HYPERLINK("http://imap3images.s3-website-us-east-1.amazonaws.com/1126246/p/imap_app_photo_1615653130442.jpg", "View")</f>
        <v>View</v>
      </c>
      <c r="F95" t="s">
        <v>18</v>
      </c>
      <c r="G95" t="s">
        <v>19</v>
      </c>
      <c r="H95">
        <v>56061</v>
      </c>
      <c r="I95" t="str">
        <f t="shared" si="3"/>
        <v>View</v>
      </c>
      <c r="J95" t="s">
        <v>18</v>
      </c>
      <c r="K95" t="s">
        <v>20</v>
      </c>
      <c r="L95">
        <v>56061</v>
      </c>
      <c r="M95">
        <v>90.87</v>
      </c>
      <c r="N95">
        <v>98.44</v>
      </c>
      <c r="O95">
        <v>1</v>
      </c>
      <c r="P95">
        <v>1</v>
      </c>
      <c r="R95" t="s">
        <v>83</v>
      </c>
      <c r="S95" t="s">
        <v>84</v>
      </c>
    </row>
    <row r="96" spans="1:21" x14ac:dyDescent="0.25">
      <c r="A96">
        <v>95</v>
      </c>
      <c r="B96" t="str">
        <f>HYPERLINK("https://imapinvasives.natureserve.org/imap/services/page/Presence/1443061.html", "View")</f>
        <v>View</v>
      </c>
      <c r="C96">
        <v>1443061</v>
      </c>
      <c r="D96">
        <v>1457678</v>
      </c>
      <c r="E96" t="str">
        <f>HYPERLINK("http://imap3images.s3-website-us-east-1.amazonaws.com/1457678/p/imap_app_photo_1724953558567.jpg", "View")</f>
        <v>View</v>
      </c>
      <c r="F96" t="s">
        <v>18</v>
      </c>
      <c r="G96" t="s">
        <v>19</v>
      </c>
      <c r="H96">
        <v>56061</v>
      </c>
      <c r="I96" t="str">
        <f t="shared" si="3"/>
        <v>View</v>
      </c>
      <c r="J96" t="s">
        <v>18</v>
      </c>
      <c r="K96" t="s">
        <v>20</v>
      </c>
      <c r="L96">
        <v>56061</v>
      </c>
      <c r="M96">
        <v>79.42</v>
      </c>
      <c r="N96">
        <v>98.75</v>
      </c>
      <c r="O96">
        <v>1</v>
      </c>
      <c r="P96">
        <v>1</v>
      </c>
      <c r="R96" t="s">
        <v>83</v>
      </c>
      <c r="S96" t="s">
        <v>90</v>
      </c>
    </row>
    <row r="97" spans="1:19" x14ac:dyDescent="0.25">
      <c r="A97">
        <v>96</v>
      </c>
      <c r="B97" t="str">
        <f>HYPERLINK("https://imapinvasives.natureserve.org/imap/services/page/Presence/1332168.html", "View")</f>
        <v>View</v>
      </c>
      <c r="C97">
        <v>1332168</v>
      </c>
      <c r="D97">
        <v>1345927</v>
      </c>
      <c r="E97" t="str">
        <f>HYPERLINK("http://imap3images.s3-website-us-east-1.amazonaws.com/1345927/p/imap_app_photo_1685139089015.jpg", "View")</f>
        <v>View</v>
      </c>
      <c r="F97" t="s">
        <v>18</v>
      </c>
      <c r="G97" t="s">
        <v>19</v>
      </c>
      <c r="H97">
        <v>56061</v>
      </c>
      <c r="I97" t="str">
        <f t="shared" si="3"/>
        <v>View</v>
      </c>
      <c r="J97" t="s">
        <v>18</v>
      </c>
      <c r="K97" t="s">
        <v>20</v>
      </c>
      <c r="L97">
        <v>56061</v>
      </c>
      <c r="M97">
        <v>51.26</v>
      </c>
      <c r="N97">
        <v>74.56</v>
      </c>
      <c r="O97">
        <v>1</v>
      </c>
      <c r="P97">
        <v>1</v>
      </c>
      <c r="R97" t="s">
        <v>83</v>
      </c>
      <c r="S97" t="s">
        <v>86</v>
      </c>
    </row>
    <row r="98" spans="1:19" x14ac:dyDescent="0.25">
      <c r="A98">
        <v>97</v>
      </c>
      <c r="B98" t="str">
        <f>HYPERLINK("https://imapinvasives.natureserve.org/imap/services/page/Presence/1140219.html", "View")</f>
        <v>View</v>
      </c>
      <c r="C98">
        <v>1140219</v>
      </c>
      <c r="D98">
        <v>1146734</v>
      </c>
      <c r="E98" t="str">
        <f>HYPERLINK("http://imap3images.s3-website-us-east-1.amazonaws.com/1146734/p/imap_app_photo_1622830534497.jpg", "View")</f>
        <v>View</v>
      </c>
      <c r="F98" t="s">
        <v>18</v>
      </c>
      <c r="G98" t="s">
        <v>19</v>
      </c>
      <c r="H98">
        <v>56061</v>
      </c>
      <c r="I98" t="str">
        <f t="shared" si="3"/>
        <v>View</v>
      </c>
      <c r="J98" t="s">
        <v>18</v>
      </c>
      <c r="K98" t="s">
        <v>20</v>
      </c>
      <c r="L98">
        <v>56061</v>
      </c>
      <c r="M98">
        <v>33.659999999999997</v>
      </c>
      <c r="N98">
        <v>99.21</v>
      </c>
      <c r="O98">
        <v>1</v>
      </c>
      <c r="P98">
        <v>1</v>
      </c>
      <c r="R98" t="s">
        <v>83</v>
      </c>
      <c r="S98" t="s">
        <v>84</v>
      </c>
    </row>
    <row r="99" spans="1:19" x14ac:dyDescent="0.25">
      <c r="A99">
        <v>98</v>
      </c>
      <c r="B99" t="str">
        <f>HYPERLINK("https://imapinvasives.natureserve.org/imap/services/page/Presence/1391608.html", "View")</f>
        <v>View</v>
      </c>
      <c r="C99">
        <v>1391608</v>
      </c>
      <c r="D99">
        <v>1409741</v>
      </c>
      <c r="E99" t="str">
        <f>HYPERLINK("http://imap3images.s3-website-us-east-1.amazonaws.com/1409741/p/imap_app_photo_1710349247793.jpg", "View")</f>
        <v>View</v>
      </c>
      <c r="F99" t="s">
        <v>18</v>
      </c>
      <c r="G99" t="s">
        <v>19</v>
      </c>
      <c r="H99">
        <v>56061</v>
      </c>
      <c r="I99" t="str">
        <f t="shared" si="3"/>
        <v>View</v>
      </c>
      <c r="J99" t="s">
        <v>18</v>
      </c>
      <c r="K99" t="s">
        <v>20</v>
      </c>
      <c r="L99">
        <v>56061</v>
      </c>
      <c r="M99">
        <v>39.44</v>
      </c>
      <c r="N99">
        <v>89.66</v>
      </c>
      <c r="O99">
        <v>1</v>
      </c>
      <c r="P99">
        <v>1</v>
      </c>
      <c r="R99" t="s">
        <v>83</v>
      </c>
      <c r="S99" t="s">
        <v>84</v>
      </c>
    </row>
    <row r="100" spans="1:19" x14ac:dyDescent="0.25">
      <c r="A100">
        <v>99</v>
      </c>
      <c r="B100" t="str">
        <f>HYPERLINK("https://imapinvasives.natureserve.org/imap/services/page/Presence/1334440.html", "View")</f>
        <v>View</v>
      </c>
      <c r="C100">
        <v>1334440</v>
      </c>
      <c r="D100">
        <v>1348560</v>
      </c>
      <c r="E100" t="str">
        <f>HYPERLINK("http://imap3images.s3-website-us-east-1.amazonaws.com/1348560/p/imap_app_photo_1686134645452.jpg", "View")</f>
        <v>View</v>
      </c>
      <c r="F100" t="s">
        <v>18</v>
      </c>
      <c r="G100" t="s">
        <v>19</v>
      </c>
      <c r="H100">
        <v>56061</v>
      </c>
      <c r="I100" t="str">
        <f t="shared" si="3"/>
        <v>View</v>
      </c>
      <c r="J100" t="s">
        <v>18</v>
      </c>
      <c r="K100" t="s">
        <v>20</v>
      </c>
      <c r="L100">
        <v>56061</v>
      </c>
      <c r="M100">
        <v>18.86</v>
      </c>
      <c r="N100">
        <v>96.44</v>
      </c>
      <c r="O100">
        <v>1</v>
      </c>
      <c r="P100">
        <v>1</v>
      </c>
      <c r="R100" t="s">
        <v>83</v>
      </c>
      <c r="S100" t="s">
        <v>88</v>
      </c>
    </row>
    <row r="101" spans="1:19" x14ac:dyDescent="0.25">
      <c r="A101">
        <v>100</v>
      </c>
      <c r="B101" t="str">
        <f>HYPERLINK("https://imapinvasives.natureserve.org/imap/services/page/Presence/1334722.html", "View")</f>
        <v>View</v>
      </c>
      <c r="C101">
        <v>1334722</v>
      </c>
      <c r="D101">
        <v>1348901</v>
      </c>
      <c r="E101" t="str">
        <f>HYPERLINK("http://imap3images.s3-website-us-east-1.amazonaws.com/1348901/p/Photo1-20230605-163415.jpg", "View")</f>
        <v>View</v>
      </c>
      <c r="F101" t="s">
        <v>18</v>
      </c>
      <c r="G101" t="s">
        <v>19</v>
      </c>
      <c r="H101">
        <v>56061</v>
      </c>
      <c r="I101" t="str">
        <f t="shared" si="3"/>
        <v>View</v>
      </c>
      <c r="J101" t="s">
        <v>18</v>
      </c>
      <c r="K101" t="s">
        <v>20</v>
      </c>
      <c r="L101">
        <v>56061</v>
      </c>
      <c r="M101">
        <v>25.27</v>
      </c>
      <c r="N101">
        <v>98.96</v>
      </c>
      <c r="O101">
        <v>1</v>
      </c>
      <c r="P101">
        <v>1</v>
      </c>
      <c r="R101" t="s">
        <v>83</v>
      </c>
      <c r="S101" t="s">
        <v>84</v>
      </c>
    </row>
  </sheetData>
  <dataValidations count="2">
    <dataValidation type="list" allowBlank="1" showInputMessage="1" showErrorMessage="1" sqref="S1:S1048576" xr:uid="{511DF8C9-9B1B-45CA-9268-5FA462BCEBE5}">
      <formula1>"Good photo, Bad-Photo taken from long distance, Bad-Multiple focused species, Bad-limited contrast, Bad-Blur Photo, Bad-Dried Stems, Bad-Focused Different Species"</formula1>
    </dataValidation>
    <dataValidation type="list" allowBlank="1" showInputMessage="1" showErrorMessage="1" sqref="R1:R1048576" xr:uid="{BC8E09A1-80C3-4092-9B84-C428E5774FA6}">
      <formula1>"iMap is only correct, iNat is only correct, Both iMap and iNat correct, Both iMap and iNat incorrect, Undeterminable"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2025-01-09T02:22:13Z</dcterms:created>
  <dcterms:modified xsi:type="dcterms:W3CDTF">2025-03-03T00:45:31Z</dcterms:modified>
</cp:coreProperties>
</file>