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mollick\Desktop\Final Dataset\Final Dataset for analysis\"/>
    </mc:Choice>
  </mc:AlternateContent>
  <xr:revisionPtr revIDLastSave="0" documentId="13_ncr:1_{AFA9CBC6-BC95-42F7-9538-6CCAFAD41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" i="1" l="1"/>
  <c r="E101" i="1"/>
  <c r="B101" i="1"/>
  <c r="I100" i="1"/>
  <c r="E100" i="1"/>
  <c r="B100" i="1"/>
  <c r="I99" i="1"/>
  <c r="E99" i="1"/>
  <c r="B99" i="1"/>
  <c r="I98" i="1"/>
  <c r="E98" i="1"/>
  <c r="B98" i="1"/>
  <c r="I97" i="1"/>
  <c r="E97" i="1"/>
  <c r="B97" i="1"/>
  <c r="I96" i="1"/>
  <c r="E96" i="1"/>
  <c r="B96" i="1"/>
  <c r="I95" i="1"/>
  <c r="E95" i="1"/>
  <c r="B95" i="1"/>
  <c r="I94" i="1"/>
  <c r="E94" i="1"/>
  <c r="B94" i="1"/>
  <c r="I93" i="1"/>
  <c r="E93" i="1"/>
  <c r="B93" i="1"/>
  <c r="I92" i="1"/>
  <c r="E92" i="1"/>
  <c r="B92" i="1"/>
  <c r="I91" i="1"/>
  <c r="E91" i="1"/>
  <c r="B91" i="1"/>
  <c r="I90" i="1"/>
  <c r="E90" i="1"/>
  <c r="B90" i="1"/>
  <c r="I89" i="1"/>
  <c r="E89" i="1"/>
  <c r="B89" i="1"/>
  <c r="I88" i="1"/>
  <c r="E88" i="1"/>
  <c r="B88" i="1"/>
  <c r="I87" i="1"/>
  <c r="E87" i="1"/>
  <c r="B87" i="1"/>
  <c r="I86" i="1"/>
  <c r="E86" i="1"/>
  <c r="B86" i="1"/>
  <c r="I85" i="1"/>
  <c r="E85" i="1"/>
  <c r="B85" i="1"/>
  <c r="I84" i="1"/>
  <c r="E84" i="1"/>
  <c r="B84" i="1"/>
  <c r="I83" i="1"/>
  <c r="E83" i="1"/>
  <c r="B83" i="1"/>
  <c r="I82" i="1"/>
  <c r="E82" i="1"/>
  <c r="B82" i="1"/>
  <c r="I81" i="1"/>
  <c r="E81" i="1"/>
  <c r="B81" i="1"/>
  <c r="I80" i="1"/>
  <c r="E80" i="1"/>
  <c r="B80" i="1"/>
  <c r="I79" i="1"/>
  <c r="E79" i="1"/>
  <c r="B79" i="1"/>
  <c r="I78" i="1"/>
  <c r="E78" i="1"/>
  <c r="B78" i="1"/>
  <c r="I77" i="1"/>
  <c r="E77" i="1"/>
  <c r="B77" i="1"/>
  <c r="I76" i="1"/>
  <c r="E76" i="1"/>
  <c r="B76" i="1"/>
  <c r="I75" i="1"/>
  <c r="E75" i="1"/>
  <c r="B75" i="1"/>
  <c r="I74" i="1"/>
  <c r="E74" i="1"/>
  <c r="B74" i="1"/>
  <c r="I73" i="1"/>
  <c r="E73" i="1"/>
  <c r="B73" i="1"/>
  <c r="I72" i="1"/>
  <c r="E72" i="1"/>
  <c r="B72" i="1"/>
  <c r="I71" i="1"/>
  <c r="E71" i="1"/>
  <c r="B71" i="1"/>
  <c r="I70" i="1"/>
  <c r="E70" i="1"/>
  <c r="B70" i="1"/>
  <c r="I69" i="1"/>
  <c r="E69" i="1"/>
  <c r="B69" i="1"/>
  <c r="I68" i="1"/>
  <c r="E68" i="1"/>
  <c r="B68" i="1"/>
  <c r="I67" i="1"/>
  <c r="E67" i="1"/>
  <c r="B67" i="1"/>
  <c r="I66" i="1"/>
  <c r="E66" i="1"/>
  <c r="B66" i="1"/>
  <c r="I65" i="1"/>
  <c r="E65" i="1"/>
  <c r="B65" i="1"/>
  <c r="I64" i="1"/>
  <c r="E64" i="1"/>
  <c r="B64" i="1"/>
  <c r="I63" i="1"/>
  <c r="E63" i="1"/>
  <c r="B63" i="1"/>
  <c r="I62" i="1"/>
  <c r="E62" i="1"/>
  <c r="B62" i="1"/>
  <c r="I61" i="1"/>
  <c r="E61" i="1"/>
  <c r="B61" i="1"/>
  <c r="I60" i="1"/>
  <c r="E60" i="1"/>
  <c r="B60" i="1"/>
  <c r="I59" i="1"/>
  <c r="E59" i="1"/>
  <c r="B59" i="1"/>
  <c r="I58" i="1"/>
  <c r="E58" i="1"/>
  <c r="B58" i="1"/>
  <c r="I57" i="1"/>
  <c r="E57" i="1"/>
  <c r="B57" i="1"/>
  <c r="I56" i="1"/>
  <c r="E56" i="1"/>
  <c r="B56" i="1"/>
  <c r="I55" i="1"/>
  <c r="E55" i="1"/>
  <c r="B55" i="1"/>
  <c r="I54" i="1"/>
  <c r="E54" i="1"/>
  <c r="B54" i="1"/>
  <c r="I53" i="1"/>
  <c r="E53" i="1"/>
  <c r="B53" i="1"/>
  <c r="I52" i="1"/>
  <c r="E52" i="1"/>
  <c r="B52" i="1"/>
  <c r="I51" i="1"/>
  <c r="E51" i="1"/>
  <c r="B51" i="1"/>
  <c r="I50" i="1"/>
  <c r="E50" i="1"/>
  <c r="B50" i="1"/>
  <c r="I49" i="1"/>
  <c r="E49" i="1"/>
  <c r="B49" i="1"/>
  <c r="I48" i="1"/>
  <c r="E48" i="1"/>
  <c r="B48" i="1"/>
  <c r="I47" i="1"/>
  <c r="E47" i="1"/>
  <c r="B47" i="1"/>
  <c r="I46" i="1"/>
  <c r="E46" i="1"/>
  <c r="B46" i="1"/>
  <c r="I45" i="1"/>
  <c r="E45" i="1"/>
  <c r="B45" i="1"/>
  <c r="I44" i="1"/>
  <c r="E44" i="1"/>
  <c r="B44" i="1"/>
  <c r="I43" i="1"/>
  <c r="E43" i="1"/>
  <c r="B43" i="1"/>
  <c r="I42" i="1"/>
  <c r="E42" i="1"/>
  <c r="B42" i="1"/>
  <c r="I41" i="1"/>
  <c r="E41" i="1"/>
  <c r="B41" i="1"/>
  <c r="I40" i="1"/>
  <c r="E40" i="1"/>
  <c r="B40" i="1"/>
  <c r="I39" i="1"/>
  <c r="E39" i="1"/>
  <c r="B39" i="1"/>
  <c r="I38" i="1"/>
  <c r="E38" i="1"/>
  <c r="B38" i="1"/>
  <c r="I37" i="1"/>
  <c r="E37" i="1"/>
  <c r="B37" i="1"/>
  <c r="I36" i="1"/>
  <c r="E36" i="1"/>
  <c r="B36" i="1"/>
  <c r="I35" i="1"/>
  <c r="E35" i="1"/>
  <c r="B35" i="1"/>
  <c r="I34" i="1"/>
  <c r="E34" i="1"/>
  <c r="B34" i="1"/>
  <c r="I33" i="1"/>
  <c r="E33" i="1"/>
  <c r="B33" i="1"/>
  <c r="I32" i="1"/>
  <c r="E32" i="1"/>
  <c r="B32" i="1"/>
  <c r="I31" i="1"/>
  <c r="E31" i="1"/>
  <c r="B31" i="1"/>
  <c r="I30" i="1"/>
  <c r="E30" i="1"/>
  <c r="B30" i="1"/>
  <c r="I29" i="1"/>
  <c r="E29" i="1"/>
  <c r="B29" i="1"/>
  <c r="I28" i="1"/>
  <c r="E28" i="1"/>
  <c r="B28" i="1"/>
  <c r="I27" i="1"/>
  <c r="E27" i="1"/>
  <c r="B27" i="1"/>
  <c r="I26" i="1"/>
  <c r="E26" i="1"/>
  <c r="B26" i="1"/>
  <c r="I25" i="1"/>
  <c r="E25" i="1"/>
  <c r="B25" i="1"/>
  <c r="I24" i="1"/>
  <c r="E24" i="1"/>
  <c r="B24" i="1"/>
  <c r="I23" i="1"/>
  <c r="E23" i="1"/>
  <c r="B23" i="1"/>
  <c r="I22" i="1"/>
  <c r="E22" i="1"/>
  <c r="B22" i="1"/>
  <c r="I21" i="1"/>
  <c r="E21" i="1"/>
  <c r="B21" i="1"/>
  <c r="I20" i="1"/>
  <c r="E20" i="1"/>
  <c r="B20" i="1"/>
  <c r="I19" i="1"/>
  <c r="E19" i="1"/>
  <c r="B19" i="1"/>
  <c r="I18" i="1"/>
  <c r="E18" i="1"/>
  <c r="B18" i="1"/>
  <c r="I17" i="1"/>
  <c r="E17" i="1"/>
  <c r="B17" i="1"/>
  <c r="I16" i="1"/>
  <c r="E16" i="1"/>
  <c r="B16" i="1"/>
  <c r="I15" i="1"/>
  <c r="E15" i="1"/>
  <c r="B15" i="1"/>
  <c r="I14" i="1"/>
  <c r="E14" i="1"/>
  <c r="B14" i="1"/>
  <c r="I13" i="1"/>
  <c r="E13" i="1"/>
  <c r="B13" i="1"/>
  <c r="I12" i="1"/>
  <c r="E12" i="1"/>
  <c r="B12" i="1"/>
  <c r="I11" i="1"/>
  <c r="E11" i="1"/>
  <c r="B11" i="1"/>
  <c r="I10" i="1"/>
  <c r="E10" i="1"/>
  <c r="B10" i="1"/>
  <c r="I9" i="1"/>
  <c r="E9" i="1"/>
  <c r="B9" i="1"/>
  <c r="I8" i="1"/>
  <c r="E8" i="1"/>
  <c r="B8" i="1"/>
  <c r="I7" i="1"/>
  <c r="E7" i="1"/>
  <c r="B7" i="1"/>
  <c r="I6" i="1"/>
  <c r="E6" i="1"/>
  <c r="B6" i="1"/>
  <c r="I5" i="1"/>
  <c r="E5" i="1"/>
  <c r="B5" i="1"/>
  <c r="I4" i="1"/>
  <c r="E4" i="1"/>
  <c r="B4" i="1"/>
  <c r="I3" i="1"/>
  <c r="E3" i="1"/>
  <c r="B3" i="1"/>
  <c r="I2" i="1"/>
  <c r="E2" i="1"/>
  <c r="B2" i="1"/>
</calcChain>
</file>

<file path=xl/sharedStrings.xml><?xml version="1.0" encoding="utf-8"?>
<sst xmlns="http://schemas.openxmlformats.org/spreadsheetml/2006/main" count="650" uniqueCount="44">
  <si>
    <t>S.L.</t>
  </si>
  <si>
    <t>imaplink</t>
  </si>
  <si>
    <t>presenceId</t>
  </si>
  <si>
    <t>presentSpeciesId</t>
  </si>
  <si>
    <t>iMapPhoto</t>
  </si>
  <si>
    <t>imap_sci</t>
  </si>
  <si>
    <t>imap_com</t>
  </si>
  <si>
    <t>imap_record_taxon</t>
  </si>
  <si>
    <t>inatlink</t>
  </si>
  <si>
    <t>inat_sci</t>
  </si>
  <si>
    <t>inat_com</t>
  </si>
  <si>
    <t>inat_taxon</t>
  </si>
  <si>
    <t>geo_score</t>
  </si>
  <si>
    <t>com_score</t>
  </si>
  <si>
    <t>visual_model</t>
  </si>
  <si>
    <t>species_label</t>
  </si>
  <si>
    <t>com_status</t>
  </si>
  <si>
    <t>Adelges tsugae</t>
  </si>
  <si>
    <t>Hemlock Woolly Adelgid</t>
  </si>
  <si>
    <t>Hemlock woolly adelgid</t>
  </si>
  <si>
    <t>Tsuga canadensis</t>
  </si>
  <si>
    <t>Eastern hemlock</t>
  </si>
  <si>
    <t>Fiorinia externa</t>
  </si>
  <si>
    <t>Elongate hemlock scale</t>
  </si>
  <si>
    <t>Taxus baccata</t>
  </si>
  <si>
    <t>Common yew</t>
  </si>
  <si>
    <t>Platanus occidentalis</t>
  </si>
  <si>
    <t>American sycamore</t>
  </si>
  <si>
    <t>Calocedrus formosana</t>
  </si>
  <si>
    <t>Taiwanese incense-cedar</t>
  </si>
  <si>
    <t>Verification</t>
  </si>
  <si>
    <t>Photo_quality</t>
  </si>
  <si>
    <t>Notes</t>
  </si>
  <si>
    <t>Both iMap and iNat correct</t>
  </si>
  <si>
    <t>Good photo</t>
  </si>
  <si>
    <t>iNat is only correct</t>
  </si>
  <si>
    <t xml:space="preserve">Photo was taken from longer distance. So VisionAPI is unable to focus the target species. </t>
  </si>
  <si>
    <t>iMap is only correct</t>
  </si>
  <si>
    <t>Bad-Photo taken from long distance</t>
  </si>
  <si>
    <t>Bad-Blur Photo</t>
  </si>
  <si>
    <t>Undeterminable</t>
  </si>
  <si>
    <t>Bad-limited contrast</t>
  </si>
  <si>
    <t>Both iMap and iNat incorrect</t>
  </si>
  <si>
    <t>The Woolly Adelgid on Hemlock is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</si>
</sst>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K9" sqref="K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30</v>
      </c>
      <c r="S1" s="2" t="s">
        <v>31</v>
      </c>
      <c r="T1" s="2" t="s">
        <v>32</v>
      </c>
    </row>
    <row r="2" spans="1:20" x14ac:dyDescent="0.3">
      <c r="A2">
        <v>1</v>
      </c>
      <c r="B2" t="str">
        <f>HYPERLINK("https://imapinvasives.natureserve.org/imap/services/page/Presence/1258249.html", "View")</f>
        <v>View</v>
      </c>
      <c r="C2">
        <v>1258249</v>
      </c>
      <c r="D2">
        <v>1266883</v>
      </c>
      <c r="E2" t="str">
        <f>HYPERLINK("http://imap3images.s3-website-us-east-1.amazonaws.com/1266883/p/imap_app_photo_1647096791536.jpg", "View")</f>
        <v>View</v>
      </c>
      <c r="F2" t="s">
        <v>17</v>
      </c>
      <c r="G2" t="s">
        <v>18</v>
      </c>
      <c r="H2">
        <v>61513</v>
      </c>
      <c r="I2" t="str">
        <f t="shared" ref="I2:I7" si="0">HYPERLINK("https://www.inaturalist.org/taxa/61513-Adelges-tsugae", "View")</f>
        <v>View</v>
      </c>
      <c r="J2" t="s">
        <v>17</v>
      </c>
      <c r="K2" t="s">
        <v>19</v>
      </c>
      <c r="L2">
        <v>61513</v>
      </c>
      <c r="M2">
        <v>20.96</v>
      </c>
      <c r="N2">
        <v>56.88</v>
      </c>
      <c r="P2">
        <v>1</v>
      </c>
      <c r="R2" t="s">
        <v>33</v>
      </c>
      <c r="S2" t="s">
        <v>34</v>
      </c>
    </row>
    <row r="3" spans="1:20" x14ac:dyDescent="0.3">
      <c r="A3">
        <v>2</v>
      </c>
      <c r="B3" t="str">
        <f>HYPERLINK("https://imapinvasives.natureserve.org/imap/services/page/Presence/1125580.html", "View")</f>
        <v>View</v>
      </c>
      <c r="C3">
        <v>1125580</v>
      </c>
      <c r="D3">
        <v>1131743</v>
      </c>
      <c r="E3" t="str">
        <f>HYPERLINK("http://imap3images.s3-website-us-east-1.amazonaws.com/1131743/p/imap_app_photo_1616769023059.jpg", "View")</f>
        <v>View</v>
      </c>
      <c r="F3" t="s">
        <v>17</v>
      </c>
      <c r="G3" t="s">
        <v>18</v>
      </c>
      <c r="H3">
        <v>61513</v>
      </c>
      <c r="I3" t="str">
        <f t="shared" si="0"/>
        <v>View</v>
      </c>
      <c r="J3" t="s">
        <v>17</v>
      </c>
      <c r="K3" t="s">
        <v>19</v>
      </c>
      <c r="L3">
        <v>61513</v>
      </c>
      <c r="M3">
        <v>10</v>
      </c>
      <c r="N3">
        <v>71.790000000000006</v>
      </c>
      <c r="P3">
        <v>1</v>
      </c>
      <c r="R3" t="s">
        <v>33</v>
      </c>
      <c r="S3" t="s">
        <v>34</v>
      </c>
    </row>
    <row r="4" spans="1:20" x14ac:dyDescent="0.3">
      <c r="A4">
        <v>3</v>
      </c>
      <c r="B4" t="str">
        <f>HYPERLINK("https://imapinvasives.natureserve.org/imap/services/page/Presence/1269512.html", "View")</f>
        <v>View</v>
      </c>
      <c r="C4">
        <v>1269512</v>
      </c>
      <c r="D4">
        <v>1278432</v>
      </c>
      <c r="E4" t="str">
        <f>HYPERLINK("http://imap3images.s3-website-us-east-1.amazonaws.com/1278432/p/imap_app_photo_1649550392332.jpg", "View")</f>
        <v>View</v>
      </c>
      <c r="F4" t="s">
        <v>17</v>
      </c>
      <c r="G4" t="s">
        <v>18</v>
      </c>
      <c r="H4">
        <v>61513</v>
      </c>
      <c r="I4" t="str">
        <f t="shared" si="0"/>
        <v>View</v>
      </c>
      <c r="J4" t="s">
        <v>17</v>
      </c>
      <c r="K4" t="s">
        <v>19</v>
      </c>
      <c r="L4">
        <v>61513</v>
      </c>
      <c r="M4">
        <v>7.25</v>
      </c>
      <c r="N4">
        <v>59.84</v>
      </c>
      <c r="P4">
        <v>1</v>
      </c>
      <c r="R4" t="s">
        <v>33</v>
      </c>
      <c r="S4" t="s">
        <v>34</v>
      </c>
    </row>
    <row r="5" spans="1:20" x14ac:dyDescent="0.3">
      <c r="A5">
        <v>4</v>
      </c>
      <c r="B5" t="str">
        <f>HYPERLINK("https://imapinvasives.natureserve.org/imap/services/page/Presence/1285973.html", "View")</f>
        <v>View</v>
      </c>
      <c r="C5">
        <v>1285973</v>
      </c>
      <c r="D5">
        <v>1295696</v>
      </c>
      <c r="E5" t="str">
        <f>HYPERLINK("http://imap3images.s3-website-us-east-1.amazonaws.com/1295696/p/HWA_Keeney_Swamp_SF.jpg", "View")</f>
        <v>View</v>
      </c>
      <c r="F5" t="s">
        <v>17</v>
      </c>
      <c r="G5" t="s">
        <v>18</v>
      </c>
      <c r="H5">
        <v>61513</v>
      </c>
      <c r="I5" t="str">
        <f t="shared" si="0"/>
        <v>View</v>
      </c>
      <c r="J5" t="s">
        <v>17</v>
      </c>
      <c r="K5" t="s">
        <v>19</v>
      </c>
      <c r="L5">
        <v>61513</v>
      </c>
      <c r="M5">
        <v>7.25</v>
      </c>
      <c r="N5">
        <v>98.43</v>
      </c>
      <c r="P5">
        <v>1</v>
      </c>
      <c r="R5" t="s">
        <v>33</v>
      </c>
      <c r="S5" t="s">
        <v>34</v>
      </c>
    </row>
    <row r="6" spans="1:20" x14ac:dyDescent="0.3">
      <c r="A6">
        <v>5</v>
      </c>
      <c r="B6" t="str">
        <f>HYPERLINK("https://imapinvasives.natureserve.org/imap/services/page/Presence/1198969.html", "View")</f>
        <v>View</v>
      </c>
      <c r="C6">
        <v>1198969</v>
      </c>
      <c r="D6">
        <v>1207025</v>
      </c>
      <c r="E6" t="str">
        <f>HYPERLINK("http://imap3images.s3-website-us-east-1.amazonaws.com/1207025/p/IMG_20211130_104516742_HDR.jpg", "View")</f>
        <v>View</v>
      </c>
      <c r="F6" t="s">
        <v>17</v>
      </c>
      <c r="G6" t="s">
        <v>18</v>
      </c>
      <c r="H6">
        <v>61513</v>
      </c>
      <c r="I6" t="str">
        <f t="shared" si="0"/>
        <v>View</v>
      </c>
      <c r="J6" t="s">
        <v>17</v>
      </c>
      <c r="K6" t="s">
        <v>19</v>
      </c>
      <c r="L6">
        <v>61513</v>
      </c>
      <c r="M6">
        <v>11.31</v>
      </c>
      <c r="N6">
        <v>49.12</v>
      </c>
      <c r="P6">
        <v>1</v>
      </c>
      <c r="R6" t="s">
        <v>33</v>
      </c>
      <c r="S6" t="s">
        <v>34</v>
      </c>
    </row>
    <row r="7" spans="1:20" x14ac:dyDescent="0.3">
      <c r="A7">
        <v>6</v>
      </c>
      <c r="B7" t="str">
        <f>HYPERLINK("https://imapinvasives.natureserve.org/imap/services/page/Presence/1284963.html", "View")</f>
        <v>View</v>
      </c>
      <c r="C7">
        <v>1284963</v>
      </c>
      <c r="D7">
        <v>1294543</v>
      </c>
      <c r="E7" t="str">
        <f>HYPERLINK("http://imap3images.s3-website-us-east-1.amazonaws.com/1294543/p/imap_app_photo_1659551257501.jpg", "View")</f>
        <v>View</v>
      </c>
      <c r="F7" t="s">
        <v>17</v>
      </c>
      <c r="G7" t="s">
        <v>18</v>
      </c>
      <c r="H7">
        <v>61513</v>
      </c>
      <c r="I7" t="str">
        <f t="shared" si="0"/>
        <v>View</v>
      </c>
      <c r="J7" t="s">
        <v>17</v>
      </c>
      <c r="K7" t="s">
        <v>19</v>
      </c>
      <c r="L7">
        <v>61513</v>
      </c>
      <c r="M7">
        <v>14.36</v>
      </c>
      <c r="N7">
        <v>88.23</v>
      </c>
      <c r="P7">
        <v>1</v>
      </c>
      <c r="R7" t="s">
        <v>33</v>
      </c>
      <c r="S7" t="s">
        <v>34</v>
      </c>
    </row>
    <row r="8" spans="1:20" x14ac:dyDescent="0.3">
      <c r="A8">
        <v>7</v>
      </c>
      <c r="B8" t="str">
        <f>HYPERLINK("https://imapinvasives.natureserve.org/imap/services/page/Presence/1366523.html", "View")</f>
        <v>View</v>
      </c>
      <c r="C8">
        <v>1366523</v>
      </c>
      <c r="D8">
        <v>1384563</v>
      </c>
      <c r="E8" t="str">
        <f>HYPERLINK("http://imap3images.s3-website-us-east-1.amazonaws.com/1384563/p/HWA122223AdminConservationTrail31TD.jpeg", "View")</f>
        <v>View</v>
      </c>
      <c r="F8" t="s">
        <v>17</v>
      </c>
      <c r="G8" t="s">
        <v>18</v>
      </c>
      <c r="H8">
        <v>61513</v>
      </c>
      <c r="I8" t="str">
        <f>HYPERLINK("https://www.inaturalist.org/taxa/48734-Tsuga-canadensis", "View")</f>
        <v>View</v>
      </c>
      <c r="J8" t="s">
        <v>20</v>
      </c>
      <c r="K8" t="s">
        <v>21</v>
      </c>
      <c r="L8">
        <v>48734</v>
      </c>
      <c r="M8">
        <v>33.380000000000003</v>
      </c>
      <c r="N8">
        <v>76.42</v>
      </c>
      <c r="P8">
        <v>0</v>
      </c>
      <c r="R8" t="s">
        <v>37</v>
      </c>
      <c r="S8" t="s">
        <v>34</v>
      </c>
      <c r="T8" t="s">
        <v>36</v>
      </c>
    </row>
    <row r="9" spans="1:20" x14ac:dyDescent="0.3">
      <c r="A9">
        <v>8</v>
      </c>
      <c r="B9" t="str">
        <f>HYPERLINK("https://imapinvasives.natureserve.org/imap/services/page/Presence/1366502.html", "View")</f>
        <v>View</v>
      </c>
      <c r="C9">
        <v>1366502</v>
      </c>
      <c r="D9">
        <v>1384542</v>
      </c>
      <c r="E9" t="str">
        <f>HYPERLINK("http://imap3images.s3-website-us-east-1.amazonaws.com/1384542/p/HWA122123AndersonBridalRt17AM.jpg", "View")</f>
        <v>View</v>
      </c>
      <c r="F9" t="s">
        <v>17</v>
      </c>
      <c r="G9" t="s">
        <v>18</v>
      </c>
      <c r="H9">
        <v>61513</v>
      </c>
      <c r="I9" t="str">
        <f>HYPERLINK("https://www.inaturalist.org/taxa/61513-Adelges-tsugae", "View")</f>
        <v>View</v>
      </c>
      <c r="J9" t="s">
        <v>17</v>
      </c>
      <c r="K9" t="s">
        <v>19</v>
      </c>
      <c r="L9">
        <v>61513</v>
      </c>
      <c r="M9">
        <v>7.73</v>
      </c>
      <c r="N9">
        <v>47.77</v>
      </c>
      <c r="P9">
        <v>1</v>
      </c>
      <c r="R9" t="s">
        <v>33</v>
      </c>
      <c r="S9" t="s">
        <v>34</v>
      </c>
    </row>
    <row r="10" spans="1:20" x14ac:dyDescent="0.3">
      <c r="A10">
        <v>9</v>
      </c>
      <c r="B10" t="str">
        <f>HYPERLINK("https://imapinvasives.natureserve.org/imap/services/page/Presence/1251177.html", "View")</f>
        <v>View</v>
      </c>
      <c r="C10">
        <v>1251177</v>
      </c>
      <c r="D10">
        <v>1259490</v>
      </c>
      <c r="E10" t="str">
        <f>HYPERLINK("http://imap3images.s3-website-us-east-1.amazonaws.com/1259490/p/imap_app_photo_1644444111541.jpg", "View")</f>
        <v>View</v>
      </c>
      <c r="F10" t="s">
        <v>17</v>
      </c>
      <c r="G10" t="s">
        <v>18</v>
      </c>
      <c r="H10">
        <v>61513</v>
      </c>
      <c r="I10" t="str">
        <f>HYPERLINK("https://www.inaturalist.org/taxa/447063-Fiorinia-externa", "View")</f>
        <v>View</v>
      </c>
      <c r="J10" t="s">
        <v>22</v>
      </c>
      <c r="K10" t="s">
        <v>23</v>
      </c>
      <c r="L10">
        <v>447063</v>
      </c>
      <c r="M10">
        <v>1.72</v>
      </c>
      <c r="N10">
        <v>51.53</v>
      </c>
      <c r="P10">
        <v>0</v>
      </c>
      <c r="R10" t="s">
        <v>37</v>
      </c>
      <c r="S10" t="s">
        <v>34</v>
      </c>
      <c r="T10" t="s">
        <v>36</v>
      </c>
    </row>
    <row r="11" spans="1:20" x14ac:dyDescent="0.3">
      <c r="A11">
        <v>10</v>
      </c>
      <c r="B11" t="str">
        <f>HYPERLINK("https://imapinvasives.natureserve.org/imap/services/page/Presence/1320868.html", "View")</f>
        <v>View</v>
      </c>
      <c r="C11">
        <v>1320868</v>
      </c>
      <c r="D11">
        <v>1332783</v>
      </c>
      <c r="E11" t="str">
        <f>HYPERLINK("http://imap3images.s3-website-us-east-1.amazonaws.com/1332783/p/imap_app_photo_1675545722137.jpg", "View")</f>
        <v>View</v>
      </c>
      <c r="F11" t="s">
        <v>17</v>
      </c>
      <c r="G11" t="s">
        <v>18</v>
      </c>
      <c r="H11">
        <v>61513</v>
      </c>
      <c r="I11" t="str">
        <f>HYPERLINK("https://www.inaturalist.org/taxa/48734-Tsuga-canadensis", "View")</f>
        <v>View</v>
      </c>
      <c r="J11" t="s">
        <v>20</v>
      </c>
      <c r="K11" t="s">
        <v>21</v>
      </c>
      <c r="L11">
        <v>48734</v>
      </c>
      <c r="M11">
        <v>34.76</v>
      </c>
      <c r="N11">
        <v>52.73</v>
      </c>
      <c r="P11">
        <v>0</v>
      </c>
      <c r="R11" t="s">
        <v>37</v>
      </c>
      <c r="S11" t="s">
        <v>34</v>
      </c>
      <c r="T11" t="s">
        <v>36</v>
      </c>
    </row>
    <row r="12" spans="1:20" x14ac:dyDescent="0.3">
      <c r="A12">
        <v>11</v>
      </c>
      <c r="B12" t="str">
        <f>HYPERLINK("https://imapinvasives.natureserve.org/imap/services/page/Presence/1439746.html", "View")</f>
        <v>View</v>
      </c>
      <c r="C12">
        <v>1439746</v>
      </c>
      <c r="D12">
        <v>1454180</v>
      </c>
      <c r="E12" t="str">
        <f>HYPERLINK("http://imap3images.s3-website-us-east-1.amazonaws.com/1454180/p/IMG_1071.jpg", "View")</f>
        <v>View</v>
      </c>
      <c r="F12" t="s">
        <v>17</v>
      </c>
      <c r="G12" t="s">
        <v>18</v>
      </c>
      <c r="H12">
        <v>61513</v>
      </c>
      <c r="I12" t="str">
        <f>HYPERLINK("https://www.inaturalist.org/taxa/447063-Fiorinia-externa", "View")</f>
        <v>View</v>
      </c>
      <c r="J12" t="s">
        <v>22</v>
      </c>
      <c r="K12" t="s">
        <v>23</v>
      </c>
      <c r="L12">
        <v>447063</v>
      </c>
      <c r="M12">
        <v>1.41</v>
      </c>
      <c r="N12">
        <v>96.5</v>
      </c>
      <c r="P12">
        <v>0</v>
      </c>
      <c r="R12" t="s">
        <v>37</v>
      </c>
      <c r="S12" t="s">
        <v>38</v>
      </c>
      <c r="T12" t="s">
        <v>36</v>
      </c>
    </row>
    <row r="13" spans="1:20" x14ac:dyDescent="0.3">
      <c r="A13">
        <v>12</v>
      </c>
      <c r="B13" t="str">
        <f>HYPERLINK("https://imapinvasives.natureserve.org/imap/services/page/Presence/1273400.html", "View")</f>
        <v>View</v>
      </c>
      <c r="C13">
        <v>1273400</v>
      </c>
      <c r="D13">
        <v>1282536</v>
      </c>
      <c r="E13" t="str">
        <f>HYPERLINK("http://imap3images.s3-website-us-east-1.amazonaws.com/1282536/p/thumbnail_IMG_8796.jpg", "View")</f>
        <v>View</v>
      </c>
      <c r="F13" t="s">
        <v>17</v>
      </c>
      <c r="G13" t="s">
        <v>18</v>
      </c>
      <c r="H13">
        <v>61513</v>
      </c>
      <c r="I13" t="str">
        <f>HYPERLINK("https://www.inaturalist.org/taxa/48734-Tsuga-canadensis", "View")</f>
        <v>View</v>
      </c>
      <c r="J13" t="s">
        <v>20</v>
      </c>
      <c r="K13" t="s">
        <v>21</v>
      </c>
      <c r="L13">
        <v>48734</v>
      </c>
      <c r="M13">
        <v>35.71</v>
      </c>
      <c r="N13">
        <v>59.94</v>
      </c>
      <c r="P13">
        <v>0</v>
      </c>
      <c r="R13" t="s">
        <v>37</v>
      </c>
      <c r="S13" t="s">
        <v>34</v>
      </c>
      <c r="T13" t="s">
        <v>36</v>
      </c>
    </row>
    <row r="14" spans="1:20" x14ac:dyDescent="0.3">
      <c r="A14">
        <v>13</v>
      </c>
      <c r="B14" t="str">
        <f>HYPERLINK("https://imapinvasives.natureserve.org/imap/services/page/Presence/515983.html", "View")</f>
        <v>View</v>
      </c>
      <c r="C14">
        <v>515983</v>
      </c>
      <c r="D14">
        <v>515983</v>
      </c>
      <c r="E14" t="str">
        <f>HYPERLINK("http://imap3images.s3-website-us-east-1.amazonaws.com/515983/p/photourl1_2017_10_15_lindombroskie_jmoy9np5.jpg", "View")</f>
        <v>View</v>
      </c>
      <c r="F14" t="s">
        <v>17</v>
      </c>
      <c r="G14" t="s">
        <v>18</v>
      </c>
      <c r="H14">
        <v>61513</v>
      </c>
      <c r="I14" t="str">
        <f>HYPERLINK("https://www.inaturalist.org/taxa/61513-Adelges-tsugae", "View")</f>
        <v>View</v>
      </c>
      <c r="J14" t="s">
        <v>17</v>
      </c>
      <c r="K14" t="s">
        <v>19</v>
      </c>
      <c r="L14">
        <v>61513</v>
      </c>
      <c r="M14">
        <v>12.4</v>
      </c>
      <c r="N14">
        <v>98.96</v>
      </c>
      <c r="P14">
        <v>1</v>
      </c>
      <c r="R14" t="s">
        <v>33</v>
      </c>
      <c r="S14" t="s">
        <v>34</v>
      </c>
    </row>
    <row r="15" spans="1:20" x14ac:dyDescent="0.3">
      <c r="A15">
        <v>14</v>
      </c>
      <c r="B15" t="str">
        <f>HYPERLINK("https://imapinvasives.natureserve.org/imap/services/page/Presence/524742.html", "View")</f>
        <v>View</v>
      </c>
      <c r="C15">
        <v>524742</v>
      </c>
      <c r="D15">
        <v>524742</v>
      </c>
      <c r="E15" t="str">
        <f>HYPERLINK("http://imap3images.s3-website-us-east-1.amazonaws.com/524742/p/photourl1_2018_03_08_hanbush_mwyc7i5s.jpg", "View")</f>
        <v>View</v>
      </c>
      <c r="F15" t="s">
        <v>17</v>
      </c>
      <c r="G15" t="s">
        <v>18</v>
      </c>
      <c r="H15">
        <v>61513</v>
      </c>
      <c r="I15" t="str">
        <f>HYPERLINK("https://www.inaturalist.org/taxa/61513-Adelges-tsugae", "View")</f>
        <v>View</v>
      </c>
      <c r="J15" t="s">
        <v>17</v>
      </c>
      <c r="K15" t="s">
        <v>19</v>
      </c>
      <c r="L15">
        <v>61513</v>
      </c>
      <c r="M15">
        <v>12.4</v>
      </c>
      <c r="N15">
        <v>48.89</v>
      </c>
      <c r="P15">
        <v>1</v>
      </c>
      <c r="R15" t="s">
        <v>33</v>
      </c>
      <c r="S15" t="s">
        <v>38</v>
      </c>
    </row>
    <row r="16" spans="1:20" x14ac:dyDescent="0.3">
      <c r="A16">
        <v>15</v>
      </c>
      <c r="B16" t="str">
        <f>HYPERLINK("https://imapinvasives.natureserve.org/imap/services/page/Presence/1249236.html", "View")</f>
        <v>View</v>
      </c>
      <c r="C16">
        <v>1249236</v>
      </c>
      <c r="D16">
        <v>1257391</v>
      </c>
      <c r="E16" t="str">
        <f>HYPERLINK("http://imap3images.s3-website-us-east-1.amazonaws.com/1257391/p/Photo2-20220105-192333.jpg", "View")</f>
        <v>View</v>
      </c>
      <c r="F16" t="s">
        <v>17</v>
      </c>
      <c r="G16" t="s">
        <v>18</v>
      </c>
      <c r="H16">
        <v>61513</v>
      </c>
      <c r="I16" t="str">
        <f>HYPERLINK("https://www.inaturalist.org/taxa/48734-Tsuga-canadensis", "View")</f>
        <v>View</v>
      </c>
      <c r="J16" t="s">
        <v>20</v>
      </c>
      <c r="K16" t="s">
        <v>21</v>
      </c>
      <c r="L16">
        <v>48734</v>
      </c>
      <c r="M16">
        <v>37.76</v>
      </c>
      <c r="N16">
        <v>98.76</v>
      </c>
      <c r="P16">
        <v>0</v>
      </c>
      <c r="R16" t="s">
        <v>37</v>
      </c>
      <c r="S16" t="s">
        <v>39</v>
      </c>
      <c r="T16" t="s">
        <v>36</v>
      </c>
    </row>
    <row r="17" spans="1:20" x14ac:dyDescent="0.3">
      <c r="A17">
        <v>16</v>
      </c>
      <c r="B17" t="str">
        <f>HYPERLINK("https://imapinvasives.natureserve.org/imap/services/page/Presence/1253767.html", "View")</f>
        <v>View</v>
      </c>
      <c r="C17">
        <v>1253767</v>
      </c>
      <c r="D17">
        <v>1262326</v>
      </c>
      <c r="E17" t="str">
        <f>HYPERLINK("http://imap3images.s3-website-us-east-1.amazonaws.com/1262326/p/imap_app_photo_1645307471789.jpg", "View")</f>
        <v>View</v>
      </c>
      <c r="F17" t="s">
        <v>17</v>
      </c>
      <c r="G17" t="s">
        <v>18</v>
      </c>
      <c r="H17">
        <v>61513</v>
      </c>
      <c r="I17" t="str">
        <f>HYPERLINK("https://www.inaturalist.org/taxa/61513-Adelges-tsugae", "View")</f>
        <v>View</v>
      </c>
      <c r="J17" t="s">
        <v>17</v>
      </c>
      <c r="K17" t="s">
        <v>19</v>
      </c>
      <c r="L17">
        <v>61513</v>
      </c>
      <c r="M17">
        <v>11.31</v>
      </c>
      <c r="N17">
        <v>68.95</v>
      </c>
      <c r="P17">
        <v>1</v>
      </c>
      <c r="R17" t="s">
        <v>33</v>
      </c>
      <c r="S17" t="s">
        <v>34</v>
      </c>
    </row>
    <row r="18" spans="1:20" x14ac:dyDescent="0.3">
      <c r="A18">
        <v>17</v>
      </c>
      <c r="B18" t="str">
        <f>HYPERLINK("https://imapinvasives.natureserve.org/imap/services/page/Presence/527238.html", "View")</f>
        <v>View</v>
      </c>
      <c r="C18">
        <v>527238</v>
      </c>
      <c r="D18">
        <v>527238</v>
      </c>
      <c r="E18" t="str">
        <f>HYPERLINK("http://imap3images.s3-website-us-east-1.amazonaws.com/527238/p/photourl1_2018_06_15_elijamison_au6k5cm1.jpg", "View")</f>
        <v>View</v>
      </c>
      <c r="F18" t="s">
        <v>17</v>
      </c>
      <c r="G18" t="s">
        <v>18</v>
      </c>
      <c r="H18">
        <v>61513</v>
      </c>
      <c r="I18" t="str">
        <f>HYPERLINK("https://www.inaturalist.org/taxa/48734-Tsuga-canadensis", "View")</f>
        <v>View</v>
      </c>
      <c r="J18" t="s">
        <v>20</v>
      </c>
      <c r="K18" t="s">
        <v>21</v>
      </c>
      <c r="L18">
        <v>48734</v>
      </c>
      <c r="M18">
        <v>73.010000000000005</v>
      </c>
      <c r="N18">
        <v>35.54</v>
      </c>
      <c r="P18">
        <v>0</v>
      </c>
      <c r="R18" t="s">
        <v>37</v>
      </c>
      <c r="S18" t="s">
        <v>34</v>
      </c>
      <c r="T18" t="s">
        <v>36</v>
      </c>
    </row>
    <row r="19" spans="1:20" x14ac:dyDescent="0.3">
      <c r="A19">
        <v>18</v>
      </c>
      <c r="B19" t="str">
        <f>HYPERLINK("https://imapinvasives.natureserve.org/imap/services/page/Presence/1363028.html", "View")</f>
        <v>View</v>
      </c>
      <c r="C19">
        <v>1363028</v>
      </c>
      <c r="D19">
        <v>1380798</v>
      </c>
      <c r="E19" t="str">
        <f>HYPERLINK("http://imap3images.s3-website-us-east-1.amazonaws.com/1380798/p/imap_app_photo_1699450091952.jpg", "View")</f>
        <v>View</v>
      </c>
      <c r="F19" t="s">
        <v>17</v>
      </c>
      <c r="G19" t="s">
        <v>18</v>
      </c>
      <c r="H19">
        <v>61513</v>
      </c>
      <c r="I19" t="str">
        <f>HYPERLINK("https://www.inaturalist.org/taxa/61513-Adelges-tsugae", "View")</f>
        <v>View</v>
      </c>
      <c r="J19" t="s">
        <v>17</v>
      </c>
      <c r="K19" t="s">
        <v>19</v>
      </c>
      <c r="L19">
        <v>61513</v>
      </c>
      <c r="M19">
        <v>39.26</v>
      </c>
      <c r="N19">
        <v>89.52</v>
      </c>
      <c r="P19">
        <v>1</v>
      </c>
      <c r="R19" t="s">
        <v>33</v>
      </c>
      <c r="S19" t="s">
        <v>34</v>
      </c>
    </row>
    <row r="20" spans="1:20" x14ac:dyDescent="0.3">
      <c r="A20">
        <v>19</v>
      </c>
      <c r="B20" t="str">
        <f>HYPERLINK("https://imapinvasives.natureserve.org/imap/services/page/Presence/1438341.html", "View")</f>
        <v>View</v>
      </c>
      <c r="C20">
        <v>1438341</v>
      </c>
      <c r="D20">
        <v>1452587</v>
      </c>
      <c r="E20" t="str">
        <f>HYPERLINK("http://imap3images.s3-website-us-east-1.amazonaws.com/1452587/p/imap_app_photo_1722423899069.jpg", "View")</f>
        <v>View</v>
      </c>
      <c r="F20" t="s">
        <v>17</v>
      </c>
      <c r="G20" t="s">
        <v>18</v>
      </c>
      <c r="H20">
        <v>61513</v>
      </c>
      <c r="I20" t="str">
        <f>HYPERLINK("https://www.inaturalist.org/taxa/61513-Adelges-tsugae", "View")</f>
        <v>View</v>
      </c>
      <c r="J20" t="s">
        <v>17</v>
      </c>
      <c r="K20" t="s">
        <v>19</v>
      </c>
      <c r="L20">
        <v>61513</v>
      </c>
      <c r="M20">
        <v>10.72</v>
      </c>
      <c r="N20">
        <v>70.790000000000006</v>
      </c>
      <c r="P20">
        <v>1</v>
      </c>
      <c r="R20" t="s">
        <v>37</v>
      </c>
      <c r="S20" t="s">
        <v>34</v>
      </c>
      <c r="T20" t="s">
        <v>36</v>
      </c>
    </row>
    <row r="21" spans="1:20" x14ac:dyDescent="0.3">
      <c r="A21">
        <v>20</v>
      </c>
      <c r="B21" t="str">
        <f>HYPERLINK("https://imapinvasives.natureserve.org/imap/services/page/Presence/1039595.html", "View")</f>
        <v>View</v>
      </c>
      <c r="C21">
        <v>1039595</v>
      </c>
      <c r="D21">
        <v>1043374</v>
      </c>
      <c r="E21" t="str">
        <f>HYPERLINK("http://imap3images.s3-website-us-east-1.amazonaws.com/1043374/p/imap_app_photo_1578967423571.jpg", "View")</f>
        <v>View</v>
      </c>
      <c r="F21" t="s">
        <v>17</v>
      </c>
      <c r="G21" t="s">
        <v>18</v>
      </c>
      <c r="H21">
        <v>61513</v>
      </c>
      <c r="I21" t="str">
        <f>HYPERLINK("https://www.inaturalist.org/taxa/61513-Adelges-tsugae", "View")</f>
        <v>View</v>
      </c>
      <c r="J21" t="s">
        <v>17</v>
      </c>
      <c r="K21" t="s">
        <v>19</v>
      </c>
      <c r="L21">
        <v>61513</v>
      </c>
      <c r="M21">
        <v>10.050000000000001</v>
      </c>
      <c r="N21">
        <v>92.5</v>
      </c>
      <c r="P21">
        <v>1</v>
      </c>
      <c r="R21" t="s">
        <v>33</v>
      </c>
      <c r="S21" t="s">
        <v>34</v>
      </c>
    </row>
    <row r="22" spans="1:20" x14ac:dyDescent="0.3">
      <c r="A22">
        <v>21</v>
      </c>
      <c r="B22" t="str">
        <f>HYPERLINK("https://imapinvasives.natureserve.org/imap/services/page/Presence/1113272.html", "View")</f>
        <v>View</v>
      </c>
      <c r="C22">
        <v>1113272</v>
      </c>
      <c r="D22">
        <v>1119235</v>
      </c>
      <c r="E22" t="str">
        <f>HYPERLINK("http://imap3images.s3-website-us-east-1.amazonaws.com/1119235/p/imap_app_photo_1609284896508.jpg", "View")</f>
        <v>View</v>
      </c>
      <c r="F22" t="s">
        <v>17</v>
      </c>
      <c r="G22" t="s">
        <v>18</v>
      </c>
      <c r="H22">
        <v>61513</v>
      </c>
      <c r="I22" t="str">
        <f>HYPERLINK("https://www.inaturalist.org/taxa/48734-Tsuga-canadensis", "View")</f>
        <v>View</v>
      </c>
      <c r="J22" t="s">
        <v>20</v>
      </c>
      <c r="K22" t="s">
        <v>21</v>
      </c>
      <c r="L22">
        <v>48734</v>
      </c>
      <c r="M22">
        <v>42.14</v>
      </c>
      <c r="N22">
        <v>52.53</v>
      </c>
      <c r="P22">
        <v>0</v>
      </c>
      <c r="R22" t="s">
        <v>37</v>
      </c>
      <c r="S22" t="s">
        <v>34</v>
      </c>
      <c r="T22" t="s">
        <v>36</v>
      </c>
    </row>
    <row r="23" spans="1:20" x14ac:dyDescent="0.3">
      <c r="A23">
        <v>22</v>
      </c>
      <c r="B23" t="str">
        <f>HYPERLINK("https://imapinvasives.natureserve.org/imap/services/page/Presence/512079.html", "View")</f>
        <v>View</v>
      </c>
      <c r="C23">
        <v>512079</v>
      </c>
      <c r="D23">
        <v>512079</v>
      </c>
      <c r="E23" t="str">
        <f>HYPERLINK("http://imap3images.s3-website-us-east-1.amazonaws.com/512079/p/photourl1_2019_06_16_marlefebvre_6ik82wap.jpg", "View")</f>
        <v>View</v>
      </c>
      <c r="F23" t="s">
        <v>17</v>
      </c>
      <c r="G23" t="s">
        <v>18</v>
      </c>
      <c r="H23">
        <v>61513</v>
      </c>
      <c r="I23" t="str">
        <f t="shared" ref="I23:I28" si="1">HYPERLINK("https://www.inaturalist.org/taxa/61513-Adelges-tsugae", "View")</f>
        <v>View</v>
      </c>
      <c r="J23" t="s">
        <v>17</v>
      </c>
      <c r="K23" t="s">
        <v>19</v>
      </c>
      <c r="L23">
        <v>61513</v>
      </c>
      <c r="M23">
        <v>7.57</v>
      </c>
      <c r="N23">
        <v>85.92</v>
      </c>
      <c r="P23">
        <v>1</v>
      </c>
      <c r="R23" t="s">
        <v>37</v>
      </c>
      <c r="S23" t="s">
        <v>34</v>
      </c>
    </row>
    <row r="24" spans="1:20" x14ac:dyDescent="0.3">
      <c r="A24">
        <v>23</v>
      </c>
      <c r="B24" t="str">
        <f>HYPERLINK("https://imapinvasives.natureserve.org/imap/services/page/Presence/525163.html", "View")</f>
        <v>View</v>
      </c>
      <c r="C24">
        <v>525163</v>
      </c>
      <c r="D24">
        <v>525163</v>
      </c>
      <c r="E24" t="str">
        <f>HYPERLINK("http://imap3images.s3-website-us-east-1.amazonaws.com/525163/p/photourl1_2018_04_12_thocummings_zi174rnm.jpg", "View")</f>
        <v>View</v>
      </c>
      <c r="F24" t="s">
        <v>17</v>
      </c>
      <c r="G24" t="s">
        <v>18</v>
      </c>
      <c r="H24">
        <v>61513</v>
      </c>
      <c r="I24" t="str">
        <f t="shared" si="1"/>
        <v>View</v>
      </c>
      <c r="J24" t="s">
        <v>17</v>
      </c>
      <c r="K24" t="s">
        <v>19</v>
      </c>
      <c r="L24">
        <v>61513</v>
      </c>
      <c r="M24">
        <v>39.69</v>
      </c>
      <c r="N24">
        <v>96.45</v>
      </c>
      <c r="P24">
        <v>1</v>
      </c>
      <c r="R24" t="s">
        <v>33</v>
      </c>
      <c r="S24" t="s">
        <v>34</v>
      </c>
    </row>
    <row r="25" spans="1:20" x14ac:dyDescent="0.3">
      <c r="A25">
        <v>24</v>
      </c>
      <c r="B25" t="str">
        <f>HYPERLINK("https://imapinvasives.natureserve.org/imap/services/page/Presence/1041557.html", "View")</f>
        <v>View</v>
      </c>
      <c r="C25">
        <v>1041557</v>
      </c>
      <c r="D25">
        <v>1045392</v>
      </c>
      <c r="E25" t="str">
        <f>HYPERLINK("http://imap3images.s3-website-us-east-1.amazonaws.com/1045392/p/HWA_Photo.jpg", "View")</f>
        <v>View</v>
      </c>
      <c r="F25" t="s">
        <v>17</v>
      </c>
      <c r="G25" t="s">
        <v>18</v>
      </c>
      <c r="H25">
        <v>61513</v>
      </c>
      <c r="I25" t="str">
        <f t="shared" si="1"/>
        <v>View</v>
      </c>
      <c r="J25" t="s">
        <v>17</v>
      </c>
      <c r="K25" t="s">
        <v>19</v>
      </c>
      <c r="L25">
        <v>61513</v>
      </c>
      <c r="M25">
        <v>26.88</v>
      </c>
      <c r="N25">
        <v>98</v>
      </c>
      <c r="P25">
        <v>1</v>
      </c>
      <c r="R25" t="s">
        <v>33</v>
      </c>
      <c r="S25" t="s">
        <v>34</v>
      </c>
    </row>
    <row r="26" spans="1:20" x14ac:dyDescent="0.3">
      <c r="A26">
        <v>25</v>
      </c>
      <c r="B26" t="str">
        <f>HYPERLINK("https://imapinvasives.natureserve.org/imap/services/page/Presence/1351190.html", "View")</f>
        <v>View</v>
      </c>
      <c r="C26">
        <v>1351190</v>
      </c>
      <c r="D26">
        <v>1368473</v>
      </c>
      <c r="E26" t="str">
        <f>HYPERLINK("http://imap3images.s3-website-us-east-1.amazonaws.com/1368473/p/Photo1-20230518-144931.jpg", "View")</f>
        <v>View</v>
      </c>
      <c r="F26" t="s">
        <v>17</v>
      </c>
      <c r="G26" t="s">
        <v>18</v>
      </c>
      <c r="H26">
        <v>61513</v>
      </c>
      <c r="I26" t="str">
        <f t="shared" si="1"/>
        <v>View</v>
      </c>
      <c r="J26" t="s">
        <v>17</v>
      </c>
      <c r="K26" t="s">
        <v>19</v>
      </c>
      <c r="L26">
        <v>61513</v>
      </c>
      <c r="M26">
        <v>10.45</v>
      </c>
      <c r="N26">
        <v>93.86</v>
      </c>
      <c r="P26">
        <v>1</v>
      </c>
      <c r="R26" t="s">
        <v>33</v>
      </c>
      <c r="S26" t="s">
        <v>34</v>
      </c>
    </row>
    <row r="27" spans="1:20" x14ac:dyDescent="0.3">
      <c r="A27">
        <v>26</v>
      </c>
      <c r="B27" t="str">
        <f>HYPERLINK("https://imapinvasives.natureserve.org/imap/services/page/Presence/1375903.html", "View")</f>
        <v>View</v>
      </c>
      <c r="C27">
        <v>1375903</v>
      </c>
      <c r="D27">
        <v>1394002</v>
      </c>
      <c r="E27" t="str">
        <f>HYPERLINK("http://imap3images.s3-website-us-east-1.amazonaws.com/1394002/p/imap_app_photo_1707677661354.jpg", "View")</f>
        <v>View</v>
      </c>
      <c r="F27" t="s">
        <v>17</v>
      </c>
      <c r="G27" t="s">
        <v>18</v>
      </c>
      <c r="H27">
        <v>61513</v>
      </c>
      <c r="I27" t="str">
        <f t="shared" si="1"/>
        <v>View</v>
      </c>
      <c r="J27" t="s">
        <v>17</v>
      </c>
      <c r="K27" t="s">
        <v>19</v>
      </c>
      <c r="L27">
        <v>61513</v>
      </c>
      <c r="M27">
        <v>6.5</v>
      </c>
      <c r="N27">
        <v>46.8</v>
      </c>
      <c r="P27">
        <v>1</v>
      </c>
      <c r="R27" t="s">
        <v>33</v>
      </c>
      <c r="S27" t="s">
        <v>34</v>
      </c>
    </row>
    <row r="28" spans="1:20" x14ac:dyDescent="0.3">
      <c r="A28">
        <v>27</v>
      </c>
      <c r="B28" t="str">
        <f>HYPERLINK("https://imapinvasives.natureserve.org/imap/services/page/Presence/1335692.html", "View")</f>
        <v>View</v>
      </c>
      <c r="C28">
        <v>1335692</v>
      </c>
      <c r="D28">
        <v>1350026</v>
      </c>
      <c r="E28" t="str">
        <f>HYPERLINK("http://imap3images.s3-website-us-east-1.amazonaws.com/1350026/p/imap_app_photo_1687183525784.jpg", "View")</f>
        <v>View</v>
      </c>
      <c r="F28" t="s">
        <v>17</v>
      </c>
      <c r="G28" t="s">
        <v>18</v>
      </c>
      <c r="H28">
        <v>61513</v>
      </c>
      <c r="I28" t="str">
        <f t="shared" si="1"/>
        <v>View</v>
      </c>
      <c r="J28" t="s">
        <v>17</v>
      </c>
      <c r="K28" t="s">
        <v>19</v>
      </c>
      <c r="L28">
        <v>61513</v>
      </c>
      <c r="M28">
        <v>4.5599999999999996</v>
      </c>
      <c r="N28">
        <v>76.02</v>
      </c>
      <c r="P28">
        <v>1</v>
      </c>
      <c r="R28" t="s">
        <v>33</v>
      </c>
      <c r="S28" t="s">
        <v>34</v>
      </c>
    </row>
    <row r="29" spans="1:20" x14ac:dyDescent="0.3">
      <c r="A29">
        <v>28</v>
      </c>
      <c r="B29" t="str">
        <f>HYPERLINK("https://imapinvasives.natureserve.org/imap/services/page/Presence/1339342.html", "View")</f>
        <v>View</v>
      </c>
      <c r="C29">
        <v>1339342</v>
      </c>
      <c r="D29">
        <v>1354216</v>
      </c>
      <c r="E29" t="str">
        <f>HYPERLINK("http://imap3images.s3-website-us-east-1.amazonaws.com/1354216/p/imap_app_photo_1688756343236.jpg", "View")</f>
        <v>View</v>
      </c>
      <c r="F29" t="s">
        <v>17</v>
      </c>
      <c r="G29" t="s">
        <v>18</v>
      </c>
      <c r="H29">
        <v>61513</v>
      </c>
      <c r="I29" t="str">
        <f>HYPERLINK("https://www.inaturalist.org/taxa/48734-Tsuga-canadensis", "View")</f>
        <v>View</v>
      </c>
      <c r="J29" t="s">
        <v>20</v>
      </c>
      <c r="K29" t="s">
        <v>21</v>
      </c>
      <c r="L29">
        <v>48734</v>
      </c>
      <c r="M29">
        <v>33.6</v>
      </c>
      <c r="N29">
        <v>48.27</v>
      </c>
      <c r="P29">
        <v>0</v>
      </c>
      <c r="R29" t="s">
        <v>37</v>
      </c>
      <c r="S29" t="s">
        <v>34</v>
      </c>
      <c r="T29" t="s">
        <v>36</v>
      </c>
    </row>
    <row r="30" spans="1:20" x14ac:dyDescent="0.3">
      <c r="A30">
        <v>29</v>
      </c>
      <c r="B30" t="str">
        <f>HYPERLINK("https://imapinvasives.natureserve.org/imap/services/page/Presence/1375172.html", "View")</f>
        <v>View</v>
      </c>
      <c r="C30">
        <v>1375172</v>
      </c>
      <c r="D30">
        <v>1393244</v>
      </c>
      <c r="E30" t="str">
        <f>HYPERLINK("http://imap3images.s3-website-us-east-1.amazonaws.com/1393244/p/imap_app_photo_1707093612459.jpg", "View")</f>
        <v>View</v>
      </c>
      <c r="F30" t="s">
        <v>17</v>
      </c>
      <c r="G30" t="s">
        <v>18</v>
      </c>
      <c r="H30">
        <v>61513</v>
      </c>
      <c r="I30" t="str">
        <f>HYPERLINK("https://www.inaturalist.org/taxa/61513-Adelges-tsugae", "View")</f>
        <v>View</v>
      </c>
      <c r="J30" t="s">
        <v>17</v>
      </c>
      <c r="K30" t="s">
        <v>19</v>
      </c>
      <c r="L30">
        <v>61513</v>
      </c>
      <c r="M30">
        <v>8.58</v>
      </c>
      <c r="N30">
        <v>85.77</v>
      </c>
      <c r="P30">
        <v>1</v>
      </c>
      <c r="R30" t="s">
        <v>33</v>
      </c>
      <c r="S30" t="s">
        <v>34</v>
      </c>
    </row>
    <row r="31" spans="1:20" x14ac:dyDescent="0.3">
      <c r="A31">
        <v>30</v>
      </c>
      <c r="B31" t="str">
        <f>HYPERLINK("https://imapinvasives.natureserve.org/imap/services/page/Presence/1258245.html", "View")</f>
        <v>View</v>
      </c>
      <c r="C31">
        <v>1258245</v>
      </c>
      <c r="D31">
        <v>1266879</v>
      </c>
      <c r="E31" t="str">
        <f>HYPERLINK("http://imap3images.s3-website-us-east-1.amazonaws.com/1266879/p/imap_app_photo_1647044521604.jpg", "View")</f>
        <v>View</v>
      </c>
      <c r="F31" t="s">
        <v>17</v>
      </c>
      <c r="G31" t="s">
        <v>18</v>
      </c>
      <c r="H31">
        <v>61513</v>
      </c>
      <c r="I31" t="str">
        <f>HYPERLINK("https://www.inaturalist.org/taxa/61513-Adelges-tsugae", "View")</f>
        <v>View</v>
      </c>
      <c r="J31" t="s">
        <v>17</v>
      </c>
      <c r="K31" t="s">
        <v>19</v>
      </c>
      <c r="L31">
        <v>61513</v>
      </c>
      <c r="M31">
        <v>26.88</v>
      </c>
      <c r="N31">
        <v>83.01</v>
      </c>
      <c r="P31">
        <v>1</v>
      </c>
      <c r="R31" t="s">
        <v>33</v>
      </c>
      <c r="S31" t="s">
        <v>34</v>
      </c>
    </row>
    <row r="32" spans="1:20" x14ac:dyDescent="0.3">
      <c r="A32">
        <v>31</v>
      </c>
      <c r="B32" t="str">
        <f>HYPERLINK("https://imapinvasives.natureserve.org/imap/services/page/Presence/1247944.html", "View")</f>
        <v>View</v>
      </c>
      <c r="C32">
        <v>1247944</v>
      </c>
      <c r="D32">
        <v>1256054</v>
      </c>
      <c r="E32" t="str">
        <f>HYPERLINK("http://imap3images.s3-website-us-east-1.amazonaws.com/1256054/p/E4A30F17-19E8-4F9F-9D23-311420219B6B.jpeg", "View")</f>
        <v>View</v>
      </c>
      <c r="F32" t="s">
        <v>17</v>
      </c>
      <c r="G32" t="s">
        <v>18</v>
      </c>
      <c r="H32">
        <v>61513</v>
      </c>
      <c r="I32" t="str">
        <f>HYPERLINK("https://www.inaturalist.org/taxa/61513-Adelges-tsugae", "View")</f>
        <v>View</v>
      </c>
      <c r="J32" t="s">
        <v>17</v>
      </c>
      <c r="K32" t="s">
        <v>19</v>
      </c>
      <c r="L32">
        <v>61513</v>
      </c>
      <c r="M32">
        <v>26.88</v>
      </c>
      <c r="N32">
        <v>95.79</v>
      </c>
      <c r="P32">
        <v>1</v>
      </c>
      <c r="R32" t="s">
        <v>33</v>
      </c>
      <c r="S32" t="s">
        <v>34</v>
      </c>
    </row>
    <row r="33" spans="1:20" x14ac:dyDescent="0.3">
      <c r="A33">
        <v>32</v>
      </c>
      <c r="B33" t="str">
        <f>HYPERLINK("https://imapinvasives.natureserve.org/imap/services/page/Presence/1434609.html", "View")</f>
        <v>View</v>
      </c>
      <c r="C33">
        <v>1434609</v>
      </c>
      <c r="D33">
        <v>1448288</v>
      </c>
      <c r="E33" t="str">
        <f>HYPERLINK("http://imap3images.s3-website-us-east-1.amazonaws.com/1448288/p/HWA_brooklyn.jpg", "View")</f>
        <v>View</v>
      </c>
      <c r="F33" t="s">
        <v>17</v>
      </c>
      <c r="G33" t="s">
        <v>18</v>
      </c>
      <c r="H33">
        <v>61513</v>
      </c>
      <c r="I33" t="str">
        <f>HYPERLINK("https://www.inaturalist.org/taxa/47553-Taxus-baccata", "View")</f>
        <v>View</v>
      </c>
      <c r="J33" t="s">
        <v>24</v>
      </c>
      <c r="K33" t="s">
        <v>25</v>
      </c>
      <c r="L33">
        <v>47553</v>
      </c>
      <c r="M33">
        <v>30.05</v>
      </c>
      <c r="N33">
        <v>39.36</v>
      </c>
      <c r="P33">
        <v>0</v>
      </c>
      <c r="R33" t="s">
        <v>40</v>
      </c>
      <c r="S33" t="s">
        <v>38</v>
      </c>
    </row>
    <row r="34" spans="1:20" x14ac:dyDescent="0.3">
      <c r="A34">
        <v>33</v>
      </c>
      <c r="B34" t="str">
        <f>HYPERLINK("https://imapinvasives.natureserve.org/imap/services/page/Presence/1138918.html", "View")</f>
        <v>View</v>
      </c>
      <c r="C34">
        <v>1138918</v>
      </c>
      <c r="D34">
        <v>1145393</v>
      </c>
      <c r="E34" t="str">
        <f>HYPERLINK("http://imap3images.s3-website-us-east-1.amazonaws.com/1145393/p/24405-HWA.jpeg", "View")</f>
        <v>View</v>
      </c>
      <c r="F34" t="s">
        <v>17</v>
      </c>
      <c r="G34" t="s">
        <v>18</v>
      </c>
      <c r="H34">
        <v>61513</v>
      </c>
      <c r="I34" t="str">
        <f>HYPERLINK("https://www.inaturalist.org/taxa/48734-Tsuga-canadensis", "View")</f>
        <v>View</v>
      </c>
      <c r="J34" t="s">
        <v>20</v>
      </c>
      <c r="K34" t="s">
        <v>21</v>
      </c>
      <c r="L34">
        <v>48734</v>
      </c>
      <c r="M34">
        <v>35.630000000000003</v>
      </c>
      <c r="N34">
        <v>79.67</v>
      </c>
      <c r="P34">
        <v>0</v>
      </c>
      <c r="R34" t="s">
        <v>37</v>
      </c>
      <c r="S34" t="s">
        <v>34</v>
      </c>
      <c r="T34" t="s">
        <v>36</v>
      </c>
    </row>
    <row r="35" spans="1:20" x14ac:dyDescent="0.3">
      <c r="A35">
        <v>34</v>
      </c>
      <c r="B35" t="str">
        <f>HYPERLINK("https://imapinvasives.natureserve.org/imap/services/page/Presence/512921.html", "View")</f>
        <v>View</v>
      </c>
      <c r="C35">
        <v>512921</v>
      </c>
      <c r="D35">
        <v>512921</v>
      </c>
      <c r="E35" t="str">
        <f>HYPERLINK("http://imap3images.s3-website-us-east-1.amazonaws.com/512921/p/photourl1_2017_07_13_matlevine_jfuu8y0i.jpg", "View")</f>
        <v>View</v>
      </c>
      <c r="F35" t="s">
        <v>17</v>
      </c>
      <c r="G35" t="s">
        <v>18</v>
      </c>
      <c r="H35">
        <v>61513</v>
      </c>
      <c r="I35" t="str">
        <f t="shared" ref="I35:I42" si="2">HYPERLINK("https://www.inaturalist.org/taxa/61513-Adelges-tsugae", "View")</f>
        <v>View</v>
      </c>
      <c r="J35" t="s">
        <v>17</v>
      </c>
      <c r="K35" t="s">
        <v>19</v>
      </c>
      <c r="L35">
        <v>61513</v>
      </c>
      <c r="M35">
        <v>8.16</v>
      </c>
      <c r="N35">
        <v>98.54</v>
      </c>
      <c r="P35">
        <v>1</v>
      </c>
      <c r="R35" t="s">
        <v>33</v>
      </c>
      <c r="S35" t="s">
        <v>34</v>
      </c>
    </row>
    <row r="36" spans="1:20" x14ac:dyDescent="0.3">
      <c r="A36">
        <v>35</v>
      </c>
      <c r="B36" t="str">
        <f>HYPERLINK("https://imapinvasives.natureserve.org/imap/services/page/Presence/1354249.html", "View")</f>
        <v>View</v>
      </c>
      <c r="C36">
        <v>1354249</v>
      </c>
      <c r="D36">
        <v>1371695</v>
      </c>
      <c r="E36" t="str">
        <f>HYPERLINK("http://imap3images.s3-website-us-east-1.amazonaws.com/1371695/p/imap_app_photo_1695224443180.jpg", "View")</f>
        <v>View</v>
      </c>
      <c r="F36" t="s">
        <v>17</v>
      </c>
      <c r="G36" t="s">
        <v>18</v>
      </c>
      <c r="H36">
        <v>61513</v>
      </c>
      <c r="I36" t="str">
        <f t="shared" si="2"/>
        <v>View</v>
      </c>
      <c r="J36" t="s">
        <v>17</v>
      </c>
      <c r="K36" t="s">
        <v>19</v>
      </c>
      <c r="L36">
        <v>61513</v>
      </c>
      <c r="M36">
        <v>10.23</v>
      </c>
      <c r="N36">
        <v>98.04</v>
      </c>
      <c r="P36">
        <v>1</v>
      </c>
      <c r="R36" t="s">
        <v>33</v>
      </c>
      <c r="S36" t="s">
        <v>34</v>
      </c>
    </row>
    <row r="37" spans="1:20" x14ac:dyDescent="0.3">
      <c r="A37">
        <v>36</v>
      </c>
      <c r="B37" t="str">
        <f>HYPERLINK("https://imapinvasives.natureserve.org/imap/services/page/Presence/1321179.html", "View")</f>
        <v>View</v>
      </c>
      <c r="C37">
        <v>1321179</v>
      </c>
      <c r="D37">
        <v>1333114</v>
      </c>
      <c r="E37" t="str">
        <f>HYPERLINK("http://imap3images.s3-website-us-east-1.amazonaws.com/1333114/p/imap_app_photo_1676480094496.jpg", "View")</f>
        <v>View</v>
      </c>
      <c r="F37" t="s">
        <v>17</v>
      </c>
      <c r="G37" t="s">
        <v>18</v>
      </c>
      <c r="H37">
        <v>61513</v>
      </c>
      <c r="I37" t="str">
        <f t="shared" si="2"/>
        <v>View</v>
      </c>
      <c r="J37" t="s">
        <v>17</v>
      </c>
      <c r="K37" t="s">
        <v>19</v>
      </c>
      <c r="L37">
        <v>61513</v>
      </c>
      <c r="M37">
        <v>10.23</v>
      </c>
      <c r="N37">
        <v>84.2</v>
      </c>
      <c r="P37">
        <v>1</v>
      </c>
      <c r="R37" t="s">
        <v>33</v>
      </c>
      <c r="S37" t="s">
        <v>34</v>
      </c>
    </row>
    <row r="38" spans="1:20" x14ac:dyDescent="0.3">
      <c r="A38">
        <v>37</v>
      </c>
      <c r="B38" t="str">
        <f>HYPERLINK("https://imapinvasives.natureserve.org/imap/services/page/Presence/1258279.html", "View")</f>
        <v>View</v>
      </c>
      <c r="C38">
        <v>1258279</v>
      </c>
      <c r="D38">
        <v>1266913</v>
      </c>
      <c r="E38" t="str">
        <f>HYPERLINK("http://imap3images.s3-website-us-east-1.amazonaws.com/1266913/p/imap_app_photo_1647272405410.jpg", "View")</f>
        <v>View</v>
      </c>
      <c r="F38" t="s">
        <v>17</v>
      </c>
      <c r="G38" t="s">
        <v>18</v>
      </c>
      <c r="H38">
        <v>61513</v>
      </c>
      <c r="I38" t="str">
        <f t="shared" si="2"/>
        <v>View</v>
      </c>
      <c r="J38" t="s">
        <v>17</v>
      </c>
      <c r="K38" t="s">
        <v>19</v>
      </c>
      <c r="L38">
        <v>61513</v>
      </c>
      <c r="M38">
        <v>11.12</v>
      </c>
      <c r="N38">
        <v>72.05</v>
      </c>
      <c r="P38">
        <v>1</v>
      </c>
      <c r="R38" t="s">
        <v>33</v>
      </c>
      <c r="S38" t="s">
        <v>34</v>
      </c>
    </row>
    <row r="39" spans="1:20" x14ac:dyDescent="0.3">
      <c r="A39">
        <v>38</v>
      </c>
      <c r="B39" t="str">
        <f>HYPERLINK("https://imapinvasives.natureserve.org/imap/services/page/Presence/1043658.html", "View")</f>
        <v>View</v>
      </c>
      <c r="C39">
        <v>1043658</v>
      </c>
      <c r="D39">
        <v>1047507</v>
      </c>
      <c r="E39" t="str">
        <f>HYPERLINK("http://imap3images.s3-website-us-east-1.amazonaws.com/1047507/p/IMG_0015.JPG", "View")</f>
        <v>View</v>
      </c>
      <c r="F39" t="s">
        <v>17</v>
      </c>
      <c r="G39" t="s">
        <v>18</v>
      </c>
      <c r="H39">
        <v>61513</v>
      </c>
      <c r="I39" t="str">
        <f t="shared" si="2"/>
        <v>View</v>
      </c>
      <c r="J39" t="s">
        <v>17</v>
      </c>
      <c r="K39" t="s">
        <v>19</v>
      </c>
      <c r="L39">
        <v>61513</v>
      </c>
      <c r="M39">
        <v>28.13</v>
      </c>
      <c r="N39">
        <v>99.37</v>
      </c>
      <c r="P39">
        <v>1</v>
      </c>
      <c r="R39" t="s">
        <v>33</v>
      </c>
      <c r="S39" t="s">
        <v>34</v>
      </c>
    </row>
    <row r="40" spans="1:20" x14ac:dyDescent="0.3">
      <c r="A40">
        <v>39</v>
      </c>
      <c r="B40" t="str">
        <f>HYPERLINK("https://imapinvasives.natureserve.org/imap/services/page/Presence/1410903.html", "View")</f>
        <v>View</v>
      </c>
      <c r="C40">
        <v>1410903</v>
      </c>
      <c r="D40">
        <v>1423443</v>
      </c>
      <c r="E40" t="str">
        <f>HYPERLINK("http://imap3images.s3-website-us-east-1.amazonaws.com/1423443/p/HWA_great_neck.jpg", "View")</f>
        <v>View</v>
      </c>
      <c r="F40" t="s">
        <v>17</v>
      </c>
      <c r="G40" t="s">
        <v>18</v>
      </c>
      <c r="H40">
        <v>61513</v>
      </c>
      <c r="I40" t="str">
        <f t="shared" si="2"/>
        <v>View</v>
      </c>
      <c r="J40" t="s">
        <v>17</v>
      </c>
      <c r="K40" t="s">
        <v>19</v>
      </c>
      <c r="L40">
        <v>61513</v>
      </c>
      <c r="M40">
        <v>28.13</v>
      </c>
      <c r="N40">
        <v>66.42</v>
      </c>
      <c r="P40">
        <v>1</v>
      </c>
      <c r="R40" t="s">
        <v>33</v>
      </c>
      <c r="S40" t="s">
        <v>34</v>
      </c>
    </row>
    <row r="41" spans="1:20" x14ac:dyDescent="0.3">
      <c r="A41">
        <v>40</v>
      </c>
      <c r="B41" t="str">
        <f>HYPERLINK("https://imapinvasives.natureserve.org/imap/services/page/Presence/1045974.html", "View")</f>
        <v>View</v>
      </c>
      <c r="C41">
        <v>1045974</v>
      </c>
      <c r="D41">
        <v>1049887</v>
      </c>
      <c r="E41" t="str">
        <f>HYPERLINK("http://imap3images.s3-website-us-east-1.amazonaws.com/1049887/p/imap_app_photo_1588647029485.jpg", "View")</f>
        <v>View</v>
      </c>
      <c r="F41" t="s">
        <v>17</v>
      </c>
      <c r="G41" t="s">
        <v>18</v>
      </c>
      <c r="H41">
        <v>61513</v>
      </c>
      <c r="I41" t="str">
        <f t="shared" si="2"/>
        <v>View</v>
      </c>
      <c r="J41" t="s">
        <v>17</v>
      </c>
      <c r="K41" t="s">
        <v>19</v>
      </c>
      <c r="L41">
        <v>61513</v>
      </c>
      <c r="M41">
        <v>28.13</v>
      </c>
      <c r="N41">
        <v>98.61</v>
      </c>
      <c r="P41">
        <v>1</v>
      </c>
      <c r="R41" t="s">
        <v>33</v>
      </c>
      <c r="S41" t="s">
        <v>34</v>
      </c>
    </row>
    <row r="42" spans="1:20" x14ac:dyDescent="0.3">
      <c r="A42">
        <v>41</v>
      </c>
      <c r="B42" t="str">
        <f>HYPERLINK("https://imapinvasives.natureserve.org/imap/services/page/Presence/1045975.html", "View")</f>
        <v>View</v>
      </c>
      <c r="C42">
        <v>1045975</v>
      </c>
      <c r="D42">
        <v>1049888</v>
      </c>
      <c r="E42" t="str">
        <f>HYPERLINK("http://imap3images.s3-website-us-east-1.amazonaws.com/1049888/p/imap_app_photo_1588647035821.jpg", "View")</f>
        <v>View</v>
      </c>
      <c r="F42" t="s">
        <v>17</v>
      </c>
      <c r="G42" t="s">
        <v>18</v>
      </c>
      <c r="H42">
        <v>61513</v>
      </c>
      <c r="I42" t="str">
        <f t="shared" si="2"/>
        <v>View</v>
      </c>
      <c r="J42" t="s">
        <v>17</v>
      </c>
      <c r="K42" t="s">
        <v>19</v>
      </c>
      <c r="L42">
        <v>61513</v>
      </c>
      <c r="M42">
        <v>28.13</v>
      </c>
      <c r="N42">
        <v>79.69</v>
      </c>
      <c r="P42">
        <v>1</v>
      </c>
      <c r="R42" t="s">
        <v>33</v>
      </c>
      <c r="S42" t="s">
        <v>34</v>
      </c>
    </row>
    <row r="43" spans="1:20" x14ac:dyDescent="0.3">
      <c r="A43">
        <v>42</v>
      </c>
      <c r="B43" t="str">
        <f>HYPERLINK("https://imapinvasives.natureserve.org/imap/services/page/Presence/1319683.html", "View")</f>
        <v>View</v>
      </c>
      <c r="C43">
        <v>1319683</v>
      </c>
      <c r="D43">
        <v>1330874</v>
      </c>
      <c r="E43" t="str">
        <f>HYPERLINK("http://imap3images.s3-website-us-east-1.amazonaws.com/1330874/p/Photo3-20221220-191243.jpg", "View")</f>
        <v>View</v>
      </c>
      <c r="F43" t="s">
        <v>17</v>
      </c>
      <c r="G43" t="s">
        <v>18</v>
      </c>
      <c r="H43">
        <v>61513</v>
      </c>
      <c r="I43" t="str">
        <f>HYPERLINK("https://www.inaturalist.org/taxa/49662-Platanus-occidentalis", "View")</f>
        <v>View</v>
      </c>
      <c r="J43" t="s">
        <v>26</v>
      </c>
      <c r="K43" t="s">
        <v>27</v>
      </c>
      <c r="L43">
        <v>49662</v>
      </c>
      <c r="M43">
        <v>31.69</v>
      </c>
      <c r="N43">
        <v>19.850000000000001</v>
      </c>
      <c r="P43">
        <v>0</v>
      </c>
      <c r="R43" t="s">
        <v>40</v>
      </c>
      <c r="S43" t="s">
        <v>38</v>
      </c>
    </row>
    <row r="44" spans="1:20" x14ac:dyDescent="0.3">
      <c r="A44">
        <v>43</v>
      </c>
      <c r="B44" t="str">
        <f>HYPERLINK("https://imapinvasives.natureserve.org/imap/services/page/Presence/1258276.html", "View")</f>
        <v>View</v>
      </c>
      <c r="C44">
        <v>1258276</v>
      </c>
      <c r="D44">
        <v>1266910</v>
      </c>
      <c r="E44" t="str">
        <f>HYPERLINK("http://imap3images.s3-website-us-east-1.amazonaws.com/1266910/p/HWA_Wilson_North.jpg", "View")</f>
        <v>View</v>
      </c>
      <c r="F44" t="s">
        <v>17</v>
      </c>
      <c r="G44" t="s">
        <v>18</v>
      </c>
      <c r="H44">
        <v>61513</v>
      </c>
      <c r="I44" t="str">
        <f>HYPERLINK("https://www.inaturalist.org/taxa/48734-Tsuga-canadensis", "View")</f>
        <v>View</v>
      </c>
      <c r="J44" t="s">
        <v>20</v>
      </c>
      <c r="K44" t="s">
        <v>21</v>
      </c>
      <c r="L44">
        <v>48734</v>
      </c>
      <c r="M44">
        <v>28.6</v>
      </c>
      <c r="N44">
        <v>73.31</v>
      </c>
      <c r="P44">
        <v>0</v>
      </c>
      <c r="R44" t="s">
        <v>37</v>
      </c>
      <c r="S44" t="s">
        <v>34</v>
      </c>
      <c r="T44" t="s">
        <v>36</v>
      </c>
    </row>
    <row r="45" spans="1:20" x14ac:dyDescent="0.3">
      <c r="A45">
        <v>44</v>
      </c>
      <c r="B45" t="str">
        <f>HYPERLINK("https://imapinvasives.natureserve.org/imap/services/page/Presence/1322590.html", "View")</f>
        <v>View</v>
      </c>
      <c r="C45">
        <v>1322590</v>
      </c>
      <c r="D45">
        <v>1334704</v>
      </c>
      <c r="E45" t="str">
        <f>HYPERLINK("http://imap3images.s3-website-us-east-1.amazonaws.com/1334704/p/imap_app_photo_1676996099998.jpg", "View")</f>
        <v>View</v>
      </c>
      <c r="F45" t="s">
        <v>17</v>
      </c>
      <c r="G45" t="s">
        <v>18</v>
      </c>
      <c r="H45">
        <v>61513</v>
      </c>
      <c r="I45" t="str">
        <f>HYPERLINK("https://www.inaturalist.org/taxa/48734-Tsuga-canadensis", "View")</f>
        <v>View</v>
      </c>
      <c r="J45" t="s">
        <v>20</v>
      </c>
      <c r="K45" t="s">
        <v>21</v>
      </c>
      <c r="L45">
        <v>48734</v>
      </c>
      <c r="M45">
        <v>31.3</v>
      </c>
      <c r="N45">
        <v>60.15</v>
      </c>
      <c r="P45">
        <v>0</v>
      </c>
      <c r="R45" t="s">
        <v>37</v>
      </c>
      <c r="S45" t="s">
        <v>34</v>
      </c>
      <c r="T45" t="s">
        <v>36</v>
      </c>
    </row>
    <row r="46" spans="1:20" x14ac:dyDescent="0.3">
      <c r="A46">
        <v>45</v>
      </c>
      <c r="B46" t="str">
        <f>HYPERLINK("https://imapinvasives.natureserve.org/imap/services/page/Presence/1286209.html", "View")</f>
        <v>View</v>
      </c>
      <c r="C46">
        <v>1286209</v>
      </c>
      <c r="D46">
        <v>1295932</v>
      </c>
      <c r="E46" t="str">
        <f>HYPERLINK("http://imap3images.s3-website-us-east-1.amazonaws.com/1295932/p/imap_app_photo_1660241809589.jpg", "View")</f>
        <v>View</v>
      </c>
      <c r="F46" t="s">
        <v>17</v>
      </c>
      <c r="G46" t="s">
        <v>18</v>
      </c>
      <c r="H46">
        <v>61513</v>
      </c>
      <c r="I46" t="str">
        <f>HYPERLINK("https://www.inaturalist.org/taxa/61513-Adelges-tsugae", "View")</f>
        <v>View</v>
      </c>
      <c r="J46" t="s">
        <v>17</v>
      </c>
      <c r="K46" t="s">
        <v>19</v>
      </c>
      <c r="L46">
        <v>61513</v>
      </c>
      <c r="M46">
        <v>10.050000000000001</v>
      </c>
      <c r="N46">
        <v>98.76</v>
      </c>
      <c r="P46">
        <v>1</v>
      </c>
      <c r="R46" t="s">
        <v>33</v>
      </c>
      <c r="S46" t="s">
        <v>34</v>
      </c>
    </row>
    <row r="47" spans="1:20" x14ac:dyDescent="0.3">
      <c r="A47">
        <v>46</v>
      </c>
      <c r="B47" t="str">
        <f>HYPERLINK("https://imapinvasives.natureserve.org/imap/services/page/Presence/1182700.html", "View")</f>
        <v>View</v>
      </c>
      <c r="C47">
        <v>1182700</v>
      </c>
      <c r="D47">
        <v>1190665</v>
      </c>
      <c r="E47" t="str">
        <f>HYPERLINK("http://imap3images.s3-website-us-east-1.amazonaws.com/1190665/p/imap_app_photo_1638131062846.jpg", "View")</f>
        <v>View</v>
      </c>
      <c r="F47" t="s">
        <v>17</v>
      </c>
      <c r="G47" t="s">
        <v>18</v>
      </c>
      <c r="H47">
        <v>61513</v>
      </c>
      <c r="I47" t="str">
        <f>HYPERLINK("https://www.inaturalist.org/taxa/48734-Tsuga-canadensis", "View")</f>
        <v>View</v>
      </c>
      <c r="J47" t="s">
        <v>20</v>
      </c>
      <c r="K47" t="s">
        <v>21</v>
      </c>
      <c r="L47">
        <v>48734</v>
      </c>
      <c r="M47">
        <v>35.630000000000003</v>
      </c>
      <c r="N47">
        <v>81.08</v>
      </c>
      <c r="P47">
        <v>0</v>
      </c>
      <c r="R47" t="s">
        <v>37</v>
      </c>
      <c r="S47" t="s">
        <v>41</v>
      </c>
      <c r="T47" t="s">
        <v>36</v>
      </c>
    </row>
    <row r="48" spans="1:20" x14ac:dyDescent="0.3">
      <c r="A48">
        <v>47</v>
      </c>
      <c r="B48" t="str">
        <f>HYPERLINK("https://imapinvasives.natureserve.org/imap/services/page/Presence/1323047.html", "View")</f>
        <v>View</v>
      </c>
      <c r="C48">
        <v>1323047</v>
      </c>
      <c r="D48">
        <v>1335184</v>
      </c>
      <c r="E48" t="str">
        <f>HYPERLINK("http://imap3images.s3-website-us-east-1.amazonaws.com/1335184/p/imap_app_photo_1678310591307.jpg", "View")</f>
        <v>View</v>
      </c>
      <c r="F48" t="s">
        <v>17</v>
      </c>
      <c r="G48" t="s">
        <v>18</v>
      </c>
      <c r="H48">
        <v>61513</v>
      </c>
      <c r="I48" t="str">
        <f>HYPERLINK("https://www.inaturalist.org/taxa/61513-Adelges-tsugae", "View")</f>
        <v>View</v>
      </c>
      <c r="J48" t="s">
        <v>17</v>
      </c>
      <c r="K48" t="s">
        <v>19</v>
      </c>
      <c r="L48">
        <v>61513</v>
      </c>
      <c r="M48">
        <v>8.16</v>
      </c>
      <c r="N48">
        <v>81.11</v>
      </c>
      <c r="P48">
        <v>1</v>
      </c>
      <c r="R48" t="s">
        <v>33</v>
      </c>
      <c r="S48" t="s">
        <v>34</v>
      </c>
    </row>
    <row r="49" spans="1:20" x14ac:dyDescent="0.3">
      <c r="A49">
        <v>48</v>
      </c>
      <c r="B49" t="str">
        <f>HYPERLINK("https://imapinvasives.natureserve.org/imap/services/page/Presence/1042396.html", "View")</f>
        <v>View</v>
      </c>
      <c r="C49">
        <v>1042396</v>
      </c>
      <c r="D49">
        <v>1046245</v>
      </c>
      <c r="E49" t="str">
        <f>HYPERLINK("http://imap3images.s3-website-us-east-1.amazonaws.com/1046245/p/Photo3-20190809-135448.jpg", "View")</f>
        <v>View</v>
      </c>
      <c r="F49" t="s">
        <v>17</v>
      </c>
      <c r="G49" t="s">
        <v>18</v>
      </c>
      <c r="H49">
        <v>61513</v>
      </c>
      <c r="I49" t="str">
        <f>HYPERLINK("https://www.inaturalist.org/taxa/48734-Tsuga-canadensis", "View")</f>
        <v>View</v>
      </c>
      <c r="J49" t="s">
        <v>20</v>
      </c>
      <c r="K49" t="s">
        <v>21</v>
      </c>
      <c r="L49">
        <v>48734</v>
      </c>
      <c r="M49">
        <v>70.72</v>
      </c>
      <c r="N49">
        <v>13.38</v>
      </c>
      <c r="P49">
        <v>0</v>
      </c>
      <c r="R49" t="s">
        <v>40</v>
      </c>
      <c r="S49" t="s">
        <v>38</v>
      </c>
    </row>
    <row r="50" spans="1:20" x14ac:dyDescent="0.3">
      <c r="A50">
        <v>49</v>
      </c>
      <c r="B50" t="str">
        <f>HYPERLINK("https://imapinvasives.natureserve.org/imap/services/page/Presence/1345242.html", "View")</f>
        <v>View</v>
      </c>
      <c r="C50">
        <v>1345242</v>
      </c>
      <c r="D50">
        <v>1361383</v>
      </c>
      <c r="E50" t="str">
        <f>HYPERLINK("http://imap3images.s3-website-us-east-1.amazonaws.com/1361383/p/imap_app_photo_1691355089641.jpg", "View")</f>
        <v>View</v>
      </c>
      <c r="F50" t="s">
        <v>17</v>
      </c>
      <c r="G50" t="s">
        <v>18</v>
      </c>
      <c r="H50">
        <v>61513</v>
      </c>
      <c r="I50" t="str">
        <f>HYPERLINK("https://www.inaturalist.org/taxa/48734-Tsuga-canadensis", "View")</f>
        <v>View</v>
      </c>
      <c r="J50" t="s">
        <v>20</v>
      </c>
      <c r="K50" t="s">
        <v>21</v>
      </c>
      <c r="L50">
        <v>48734</v>
      </c>
      <c r="M50">
        <v>70.72</v>
      </c>
      <c r="N50">
        <v>87.93</v>
      </c>
      <c r="P50">
        <v>0</v>
      </c>
      <c r="R50" t="s">
        <v>37</v>
      </c>
      <c r="S50" t="s">
        <v>34</v>
      </c>
      <c r="T50" t="s">
        <v>36</v>
      </c>
    </row>
    <row r="51" spans="1:20" x14ac:dyDescent="0.3">
      <c r="A51">
        <v>50</v>
      </c>
      <c r="B51" t="str">
        <f>HYPERLINK("https://imapinvasives.natureserve.org/imap/services/page/Presence/1390036.html", "View")</f>
        <v>View</v>
      </c>
      <c r="C51">
        <v>1390036</v>
      </c>
      <c r="D51">
        <v>1408140</v>
      </c>
      <c r="E51" t="str">
        <f>HYPERLINK("http://imap3images.s3-website-us-east-1.amazonaws.com/1408140/p/Photo2-20231206-165212.jpg", "View")</f>
        <v>View</v>
      </c>
      <c r="F51" t="s">
        <v>17</v>
      </c>
      <c r="G51" t="s">
        <v>18</v>
      </c>
      <c r="H51">
        <v>61513</v>
      </c>
      <c r="I51" t="str">
        <f>HYPERLINK("https://www.inaturalist.org/taxa/61513-Adelges-tsugae", "View")</f>
        <v>View</v>
      </c>
      <c r="J51" t="s">
        <v>17</v>
      </c>
      <c r="K51" t="s">
        <v>19</v>
      </c>
      <c r="L51">
        <v>61513</v>
      </c>
      <c r="M51">
        <v>6.44</v>
      </c>
      <c r="N51">
        <v>99.26</v>
      </c>
      <c r="P51">
        <v>1</v>
      </c>
      <c r="R51" t="s">
        <v>33</v>
      </c>
      <c r="S51" t="s">
        <v>34</v>
      </c>
    </row>
    <row r="52" spans="1:20" x14ac:dyDescent="0.3">
      <c r="A52">
        <v>51</v>
      </c>
      <c r="B52" t="str">
        <f>HYPERLINK("https://imapinvasives.natureserve.org/imap/services/page/Presence/1276563.html", "View")</f>
        <v>View</v>
      </c>
      <c r="C52">
        <v>1276563</v>
      </c>
      <c r="D52">
        <v>1285917</v>
      </c>
      <c r="E52" t="str">
        <f>HYPERLINK("http://imap3images.s3-website-us-east-1.amazonaws.com/1285917/p/imap_app_photo_1655906977543.jpg", "View")</f>
        <v>View</v>
      </c>
      <c r="F52" t="s">
        <v>17</v>
      </c>
      <c r="G52" t="s">
        <v>18</v>
      </c>
      <c r="H52">
        <v>61513</v>
      </c>
      <c r="I52" t="str">
        <f>HYPERLINK("https://www.inaturalist.org/taxa/48734-Tsuga-canadensis", "View")</f>
        <v>View</v>
      </c>
      <c r="J52" t="s">
        <v>20</v>
      </c>
      <c r="K52" t="s">
        <v>21</v>
      </c>
      <c r="L52">
        <v>48734</v>
      </c>
      <c r="M52">
        <v>29.42</v>
      </c>
      <c r="N52">
        <v>55.51</v>
      </c>
      <c r="P52">
        <v>0</v>
      </c>
      <c r="R52" t="s">
        <v>37</v>
      </c>
      <c r="S52" t="s">
        <v>34</v>
      </c>
      <c r="T52" t="s">
        <v>36</v>
      </c>
    </row>
    <row r="53" spans="1:20" x14ac:dyDescent="0.3">
      <c r="A53">
        <v>52</v>
      </c>
      <c r="B53" t="str">
        <f>HYPERLINK("https://imapinvasives.natureserve.org/imap/services/page/Presence/1248470.html", "View")</f>
        <v>View</v>
      </c>
      <c r="C53">
        <v>1248470</v>
      </c>
      <c r="D53">
        <v>1256587</v>
      </c>
      <c r="E53" t="str">
        <f>HYPERLINK("http://imap3images.s3-website-us-east-1.amazonaws.com/1256587/p/Photo2-20211221-115928.jpg", "View")</f>
        <v>View</v>
      </c>
      <c r="F53" t="s">
        <v>17</v>
      </c>
      <c r="G53" t="s">
        <v>18</v>
      </c>
      <c r="H53">
        <v>61513</v>
      </c>
      <c r="I53" t="str">
        <f t="shared" ref="I53:I60" si="3">HYPERLINK("https://www.inaturalist.org/taxa/61513-Adelges-tsugae", "View")</f>
        <v>View</v>
      </c>
      <c r="J53" t="s">
        <v>17</v>
      </c>
      <c r="K53" t="s">
        <v>19</v>
      </c>
      <c r="L53">
        <v>61513</v>
      </c>
      <c r="M53">
        <v>7.06</v>
      </c>
      <c r="N53">
        <v>90.98</v>
      </c>
      <c r="P53">
        <v>1</v>
      </c>
      <c r="R53" t="s">
        <v>33</v>
      </c>
      <c r="S53" t="s">
        <v>34</v>
      </c>
    </row>
    <row r="54" spans="1:20" x14ac:dyDescent="0.3">
      <c r="A54">
        <v>53</v>
      </c>
      <c r="B54" t="str">
        <f>HYPERLINK("https://imapinvasives.natureserve.org/imap/services/page/Presence/1336457.html", "View")</f>
        <v>View</v>
      </c>
      <c r="C54">
        <v>1336457</v>
      </c>
      <c r="D54">
        <v>1350835</v>
      </c>
      <c r="E54" t="str">
        <f>HYPERLINK("http://imap3images.s3-website-us-east-1.amazonaws.com/1350835/p/imap_app_photo_1687460047172.jpg", "View")</f>
        <v>View</v>
      </c>
      <c r="F54" t="s">
        <v>17</v>
      </c>
      <c r="G54" t="s">
        <v>18</v>
      </c>
      <c r="H54">
        <v>61513</v>
      </c>
      <c r="I54" t="str">
        <f t="shared" si="3"/>
        <v>View</v>
      </c>
      <c r="J54" t="s">
        <v>17</v>
      </c>
      <c r="K54" t="s">
        <v>19</v>
      </c>
      <c r="L54">
        <v>61513</v>
      </c>
      <c r="M54">
        <v>7.06</v>
      </c>
      <c r="N54">
        <v>73.040000000000006</v>
      </c>
      <c r="P54">
        <v>1</v>
      </c>
      <c r="R54" t="s">
        <v>33</v>
      </c>
      <c r="S54" t="s">
        <v>34</v>
      </c>
    </row>
    <row r="55" spans="1:20" x14ac:dyDescent="0.3">
      <c r="A55">
        <v>54</v>
      </c>
      <c r="B55" t="str">
        <f>HYPERLINK("https://imapinvasives.natureserve.org/imap/services/page/Presence/1247139.html", "View")</f>
        <v>View</v>
      </c>
      <c r="C55">
        <v>1247139</v>
      </c>
      <c r="D55">
        <v>1255233</v>
      </c>
      <c r="E55" t="str">
        <f>HYPERLINK("http://imap3images.s3-website-us-east-1.amazonaws.com/1255233/p/imap_app_photo_1639761705505.jpg", "View")</f>
        <v>View</v>
      </c>
      <c r="F55" t="s">
        <v>17</v>
      </c>
      <c r="G55" t="s">
        <v>18</v>
      </c>
      <c r="H55">
        <v>61513</v>
      </c>
      <c r="I55" t="str">
        <f t="shared" si="3"/>
        <v>View</v>
      </c>
      <c r="J55" t="s">
        <v>17</v>
      </c>
      <c r="K55" t="s">
        <v>19</v>
      </c>
      <c r="L55">
        <v>61513</v>
      </c>
      <c r="M55">
        <v>6.33</v>
      </c>
      <c r="N55">
        <v>86.41</v>
      </c>
      <c r="P55">
        <v>1</v>
      </c>
      <c r="R55" t="s">
        <v>33</v>
      </c>
      <c r="S55" t="s">
        <v>34</v>
      </c>
    </row>
    <row r="56" spans="1:20" x14ac:dyDescent="0.3">
      <c r="A56">
        <v>55</v>
      </c>
      <c r="B56" t="str">
        <f>HYPERLINK("https://imapinvasives.natureserve.org/imap/services/page/Presence/1199023.html", "View")</f>
        <v>View</v>
      </c>
      <c r="C56">
        <v>1199023</v>
      </c>
      <c r="D56">
        <v>1207080</v>
      </c>
      <c r="E56" t="str">
        <f>HYPERLINK("http://imap3images.s3-website-us-east-1.amazonaws.com/1207080/p/IMG_20211130_113740048_HDR.jpg", "View")</f>
        <v>View</v>
      </c>
      <c r="F56" t="s">
        <v>17</v>
      </c>
      <c r="G56" t="s">
        <v>18</v>
      </c>
      <c r="H56">
        <v>61513</v>
      </c>
      <c r="I56" t="str">
        <f t="shared" si="3"/>
        <v>View</v>
      </c>
      <c r="J56" t="s">
        <v>17</v>
      </c>
      <c r="K56" t="s">
        <v>19</v>
      </c>
      <c r="L56">
        <v>61513</v>
      </c>
      <c r="M56">
        <v>6.33</v>
      </c>
      <c r="N56">
        <v>85.07</v>
      </c>
      <c r="P56">
        <v>1</v>
      </c>
      <c r="R56" t="s">
        <v>33</v>
      </c>
      <c r="S56" t="s">
        <v>34</v>
      </c>
    </row>
    <row r="57" spans="1:20" x14ac:dyDescent="0.3">
      <c r="A57">
        <v>56</v>
      </c>
      <c r="B57" t="str">
        <f>HYPERLINK("https://imapinvasives.natureserve.org/imap/services/page/Presence/1249947.html", "View")</f>
        <v>View</v>
      </c>
      <c r="C57">
        <v>1249947</v>
      </c>
      <c r="D57">
        <v>1258238</v>
      </c>
      <c r="E57" t="str">
        <f>HYPERLINK("http://imap3images.s3-website-us-east-1.amazonaws.com/1258238/p/Photo1-20220125-193402.jpg", "View")</f>
        <v>View</v>
      </c>
      <c r="F57" t="s">
        <v>17</v>
      </c>
      <c r="G57" t="s">
        <v>18</v>
      </c>
      <c r="H57">
        <v>61513</v>
      </c>
      <c r="I57" t="str">
        <f t="shared" si="3"/>
        <v>View</v>
      </c>
      <c r="J57" t="s">
        <v>17</v>
      </c>
      <c r="K57" t="s">
        <v>19</v>
      </c>
      <c r="L57">
        <v>61513</v>
      </c>
      <c r="M57">
        <v>36.64</v>
      </c>
      <c r="N57">
        <v>54.07</v>
      </c>
      <c r="P57">
        <v>1</v>
      </c>
      <c r="R57" t="s">
        <v>33</v>
      </c>
      <c r="S57" t="s">
        <v>34</v>
      </c>
    </row>
    <row r="58" spans="1:20" x14ac:dyDescent="0.3">
      <c r="A58">
        <v>57</v>
      </c>
      <c r="B58" t="str">
        <f>HYPERLINK("https://imapinvasives.natureserve.org/imap/services/page/Presence/523457.html", "View")</f>
        <v>View</v>
      </c>
      <c r="C58">
        <v>523457</v>
      </c>
      <c r="D58">
        <v>523457</v>
      </c>
      <c r="E58" t="str">
        <f>HYPERLINK("http://imap3images.s3-website-us-east-1.amazonaws.com/523457/p/photourl1_2017_10_26_sartravalio_pnwghxos.jpg", "View")</f>
        <v>View</v>
      </c>
      <c r="F58" t="s">
        <v>17</v>
      </c>
      <c r="G58" t="s">
        <v>18</v>
      </c>
      <c r="H58">
        <v>61513</v>
      </c>
      <c r="I58" t="str">
        <f t="shared" si="3"/>
        <v>View</v>
      </c>
      <c r="J58" t="s">
        <v>17</v>
      </c>
      <c r="K58" t="s">
        <v>19</v>
      </c>
      <c r="L58">
        <v>61513</v>
      </c>
      <c r="M58">
        <v>36.64</v>
      </c>
      <c r="N58">
        <v>45.69</v>
      </c>
      <c r="P58">
        <v>1</v>
      </c>
      <c r="R58" t="s">
        <v>33</v>
      </c>
      <c r="S58" t="s">
        <v>34</v>
      </c>
    </row>
    <row r="59" spans="1:20" x14ac:dyDescent="0.3">
      <c r="A59">
        <v>58</v>
      </c>
      <c r="B59" t="str">
        <f>HYPERLINK("https://imapinvasives.natureserve.org/imap/services/page/Presence/1271911.html", "View")</f>
        <v>View</v>
      </c>
      <c r="C59">
        <v>1271911</v>
      </c>
      <c r="D59">
        <v>1280930</v>
      </c>
      <c r="E59" t="str">
        <f>HYPERLINK("http://imap3images.s3-website-us-east-1.amazonaws.com/1280930/p/imap_app_photo_1652464835372.jpg", "View")</f>
        <v>View</v>
      </c>
      <c r="F59" t="s">
        <v>17</v>
      </c>
      <c r="G59" t="s">
        <v>18</v>
      </c>
      <c r="H59">
        <v>61513</v>
      </c>
      <c r="I59" t="str">
        <f t="shared" si="3"/>
        <v>View</v>
      </c>
      <c r="J59" t="s">
        <v>17</v>
      </c>
      <c r="K59" t="s">
        <v>19</v>
      </c>
      <c r="L59">
        <v>61513</v>
      </c>
      <c r="M59">
        <v>20.96</v>
      </c>
      <c r="N59">
        <v>47.26</v>
      </c>
      <c r="P59">
        <v>1</v>
      </c>
      <c r="R59" t="s">
        <v>33</v>
      </c>
      <c r="S59" t="s">
        <v>34</v>
      </c>
    </row>
    <row r="60" spans="1:20" x14ac:dyDescent="0.3">
      <c r="A60">
        <v>59</v>
      </c>
      <c r="B60" t="str">
        <f>HYPERLINK("https://imapinvasives.natureserve.org/imap/services/page/Presence/1221197.html", "View")</f>
        <v>View</v>
      </c>
      <c r="C60">
        <v>1221197</v>
      </c>
      <c r="D60">
        <v>1229282</v>
      </c>
      <c r="E60" t="str">
        <f>HYPERLINK("http://imap3images.s3-website-us-east-1.amazonaws.com/1229282/p/imap_app_photo_1639070423625.jpg", "View")</f>
        <v>View</v>
      </c>
      <c r="F60" t="s">
        <v>17</v>
      </c>
      <c r="G60" t="s">
        <v>18</v>
      </c>
      <c r="H60">
        <v>61513</v>
      </c>
      <c r="I60" t="str">
        <f t="shared" si="3"/>
        <v>View</v>
      </c>
      <c r="J60" t="s">
        <v>17</v>
      </c>
      <c r="K60" t="s">
        <v>19</v>
      </c>
      <c r="L60">
        <v>61513</v>
      </c>
      <c r="M60">
        <v>20.96</v>
      </c>
      <c r="N60">
        <v>97.12</v>
      </c>
      <c r="P60">
        <v>1</v>
      </c>
      <c r="R60" t="s">
        <v>33</v>
      </c>
      <c r="S60" t="s">
        <v>34</v>
      </c>
    </row>
    <row r="61" spans="1:20" x14ac:dyDescent="0.3">
      <c r="A61">
        <v>60</v>
      </c>
      <c r="B61" t="str">
        <f>HYPERLINK("https://imapinvasives.natureserve.org/imap/services/page/Presence/1356208.html", "View")</f>
        <v>View</v>
      </c>
      <c r="C61">
        <v>1356208</v>
      </c>
      <c r="D61">
        <v>1373842</v>
      </c>
      <c r="E61" t="str">
        <f>HYPERLINK("http://imap3images.s3-website-us-east-1.amazonaws.com/1373842/p/imap_app_photo_1697219043722.jpg", "View")</f>
        <v>View</v>
      </c>
      <c r="F61" t="s">
        <v>17</v>
      </c>
      <c r="G61" t="s">
        <v>18</v>
      </c>
      <c r="H61">
        <v>61513</v>
      </c>
      <c r="I61" t="str">
        <f>HYPERLINK("https://www.inaturalist.org/taxa/447063-Fiorinia-externa", "View")</f>
        <v>View</v>
      </c>
      <c r="J61" t="s">
        <v>22</v>
      </c>
      <c r="K61" t="s">
        <v>23</v>
      </c>
      <c r="L61">
        <v>447063</v>
      </c>
      <c r="M61">
        <v>3.59</v>
      </c>
      <c r="N61">
        <v>81.09</v>
      </c>
      <c r="P61">
        <v>0</v>
      </c>
      <c r="R61" t="s">
        <v>42</v>
      </c>
      <c r="S61" t="s">
        <v>34</v>
      </c>
    </row>
    <row r="62" spans="1:20" x14ac:dyDescent="0.3">
      <c r="A62">
        <v>61</v>
      </c>
      <c r="B62" t="str">
        <f>HYPERLINK("https://imapinvasives.natureserve.org/imap/services/page/Presence/1363053.html", "View")</f>
        <v>View</v>
      </c>
      <c r="C62">
        <v>1363053</v>
      </c>
      <c r="D62">
        <v>1380823</v>
      </c>
      <c r="E62" t="str">
        <f>HYPERLINK("http://imap3images.s3-website-us-east-1.amazonaws.com/1380823/p/imap_app_photo_1699462570087.jpg", "View")</f>
        <v>View</v>
      </c>
      <c r="F62" t="s">
        <v>17</v>
      </c>
      <c r="G62" t="s">
        <v>18</v>
      </c>
      <c r="H62">
        <v>61513</v>
      </c>
      <c r="I62" t="str">
        <f>HYPERLINK("https://www.inaturalist.org/taxa/48734-Tsuga-canadensis", "View")</f>
        <v>View</v>
      </c>
      <c r="J62" t="s">
        <v>20</v>
      </c>
      <c r="K62" t="s">
        <v>21</v>
      </c>
      <c r="L62">
        <v>48734</v>
      </c>
      <c r="M62">
        <v>53.7</v>
      </c>
      <c r="N62">
        <v>55.32</v>
      </c>
      <c r="P62">
        <v>0</v>
      </c>
      <c r="R62" t="s">
        <v>37</v>
      </c>
      <c r="S62" t="s">
        <v>34</v>
      </c>
      <c r="T62" t="s">
        <v>36</v>
      </c>
    </row>
    <row r="63" spans="1:20" x14ac:dyDescent="0.3">
      <c r="A63">
        <v>62</v>
      </c>
      <c r="B63" t="str">
        <f>HYPERLINK("https://imapinvasives.natureserve.org/imap/services/page/Presence/1131824.html", "View")</f>
        <v>View</v>
      </c>
      <c r="C63">
        <v>1131824</v>
      </c>
      <c r="D63">
        <v>1138205</v>
      </c>
      <c r="E63" t="str">
        <f>HYPERLINK("http://imap3images.s3-website-us-east-1.amazonaws.com/1138205/p/imap_app_photo_1618354118809.jpg", "View")</f>
        <v>View</v>
      </c>
      <c r="F63" t="s">
        <v>17</v>
      </c>
      <c r="G63" t="s">
        <v>18</v>
      </c>
      <c r="H63">
        <v>61513</v>
      </c>
      <c r="I63" t="str">
        <f>HYPERLINK("https://www.inaturalist.org/taxa/61513-Adelges-tsugae", "View")</f>
        <v>View</v>
      </c>
      <c r="J63" t="s">
        <v>17</v>
      </c>
      <c r="K63" t="s">
        <v>19</v>
      </c>
      <c r="L63">
        <v>61513</v>
      </c>
      <c r="M63">
        <v>11.6</v>
      </c>
      <c r="N63">
        <v>89.25</v>
      </c>
      <c r="P63">
        <v>1</v>
      </c>
      <c r="R63" t="s">
        <v>33</v>
      </c>
      <c r="S63" t="s">
        <v>34</v>
      </c>
    </row>
    <row r="64" spans="1:20" x14ac:dyDescent="0.3">
      <c r="A64">
        <v>63</v>
      </c>
      <c r="B64" t="str">
        <f>HYPERLINK("https://imapinvasives.natureserve.org/imap/services/page/Presence/1119062.html", "View")</f>
        <v>View</v>
      </c>
      <c r="C64">
        <v>1119062</v>
      </c>
      <c r="D64">
        <v>1125211</v>
      </c>
      <c r="E64" t="str">
        <f>HYPERLINK("http://imap3images.s3-website-us-east-1.amazonaws.com/1125211/p/imap_app_photo_1614633235256.jpg", "View")</f>
        <v>View</v>
      </c>
      <c r="F64" t="s">
        <v>17</v>
      </c>
      <c r="G64" t="s">
        <v>18</v>
      </c>
      <c r="H64">
        <v>61513</v>
      </c>
      <c r="I64" t="str">
        <f>HYPERLINK("https://www.inaturalist.org/taxa/447063-Fiorinia-externa", "View")</f>
        <v>View</v>
      </c>
      <c r="J64" t="s">
        <v>22</v>
      </c>
      <c r="K64" t="s">
        <v>23</v>
      </c>
      <c r="L64">
        <v>447063</v>
      </c>
      <c r="M64">
        <v>6.49</v>
      </c>
      <c r="N64">
        <v>71.34</v>
      </c>
      <c r="P64">
        <v>0</v>
      </c>
      <c r="R64" t="s">
        <v>37</v>
      </c>
      <c r="S64" t="s">
        <v>34</v>
      </c>
      <c r="T64" t="s">
        <v>36</v>
      </c>
    </row>
    <row r="65" spans="1:20" x14ac:dyDescent="0.3">
      <c r="A65">
        <v>64</v>
      </c>
      <c r="B65" t="str">
        <f>HYPERLINK("https://imapinvasives.natureserve.org/imap/services/page/Presence/1323033.html", "View")</f>
        <v>View</v>
      </c>
      <c r="C65">
        <v>1323033</v>
      </c>
      <c r="D65">
        <v>1335170</v>
      </c>
      <c r="E65" t="str">
        <f>HYPERLINK("http://imap3images.s3-website-us-east-1.amazonaws.com/1335170/p/imap_app_photo_1678287975953.jpg", "View")</f>
        <v>View</v>
      </c>
      <c r="F65" t="s">
        <v>17</v>
      </c>
      <c r="G65" t="s">
        <v>18</v>
      </c>
      <c r="H65">
        <v>61513</v>
      </c>
      <c r="I65" t="str">
        <f>HYPERLINK("https://www.inaturalist.org/taxa/61513-Adelges-tsugae", "View")</f>
        <v>View</v>
      </c>
      <c r="J65" t="s">
        <v>17</v>
      </c>
      <c r="K65" t="s">
        <v>19</v>
      </c>
      <c r="L65">
        <v>61513</v>
      </c>
      <c r="M65">
        <v>10</v>
      </c>
      <c r="N65">
        <v>99.11</v>
      </c>
      <c r="P65">
        <v>1</v>
      </c>
      <c r="R65" t="s">
        <v>33</v>
      </c>
      <c r="S65" t="s">
        <v>34</v>
      </c>
    </row>
    <row r="66" spans="1:20" x14ac:dyDescent="0.3">
      <c r="A66">
        <v>65</v>
      </c>
      <c r="B66" t="str">
        <f>HYPERLINK("https://imapinvasives.natureserve.org/imap/services/page/Presence/1390793.html", "View")</f>
        <v>View</v>
      </c>
      <c r="C66">
        <v>1390793</v>
      </c>
      <c r="D66">
        <v>1408921</v>
      </c>
      <c r="E66" t="str">
        <f>HYPERLINK("http://imap3images.s3-website-us-east-1.amazonaws.com/1408921/p/imap_app_photo_1709856071299.jpg", "View")</f>
        <v>View</v>
      </c>
      <c r="F66" t="s">
        <v>17</v>
      </c>
      <c r="G66" t="s">
        <v>18</v>
      </c>
      <c r="H66">
        <v>61513</v>
      </c>
      <c r="I66" t="str">
        <f>HYPERLINK("https://www.inaturalist.org/taxa/61513-Adelges-tsugae", "View")</f>
        <v>View</v>
      </c>
      <c r="J66" t="s">
        <v>17</v>
      </c>
      <c r="K66" t="s">
        <v>19</v>
      </c>
      <c r="L66">
        <v>61513</v>
      </c>
      <c r="M66">
        <v>10</v>
      </c>
      <c r="N66">
        <v>94.73</v>
      </c>
      <c r="P66">
        <v>1</v>
      </c>
      <c r="R66" t="s">
        <v>33</v>
      </c>
      <c r="S66" t="s">
        <v>34</v>
      </c>
    </row>
    <row r="67" spans="1:20" x14ac:dyDescent="0.3">
      <c r="A67">
        <v>66</v>
      </c>
      <c r="B67" t="str">
        <f>HYPERLINK("https://imapinvasives.natureserve.org/imap/services/page/Presence/1270753.html", "View")</f>
        <v>View</v>
      </c>
      <c r="C67">
        <v>1270753</v>
      </c>
      <c r="D67">
        <v>1279693</v>
      </c>
      <c r="E67" t="str">
        <f>HYPERLINK("http://imap3images.s3-website-us-east-1.amazonaws.com/1279693/p/imap_app_photo_1650741491240.jpg", "View")</f>
        <v>View</v>
      </c>
      <c r="F67" t="s">
        <v>17</v>
      </c>
      <c r="G67" t="s">
        <v>18</v>
      </c>
      <c r="H67">
        <v>61513</v>
      </c>
      <c r="I67" t="str">
        <f>HYPERLINK("https://www.inaturalist.org/taxa/61513-Adelges-tsugae", "View")</f>
        <v>View</v>
      </c>
      <c r="J67" t="s">
        <v>17</v>
      </c>
      <c r="K67" t="s">
        <v>19</v>
      </c>
      <c r="L67">
        <v>61513</v>
      </c>
      <c r="M67">
        <v>9.48</v>
      </c>
      <c r="N67">
        <v>86.03</v>
      </c>
      <c r="P67">
        <v>1</v>
      </c>
      <c r="R67" t="s">
        <v>33</v>
      </c>
      <c r="S67" t="s">
        <v>34</v>
      </c>
    </row>
    <row r="68" spans="1:20" x14ac:dyDescent="0.3">
      <c r="A68">
        <v>67</v>
      </c>
      <c r="B68" t="str">
        <f>HYPERLINK("https://imapinvasives.natureserve.org/imap/services/page/Presence/524542.html", "View")</f>
        <v>View</v>
      </c>
      <c r="C68">
        <v>524542</v>
      </c>
      <c r="D68">
        <v>524542</v>
      </c>
      <c r="E68" t="str">
        <f>HYPERLINK("http://imap3images.s3-website-us-east-1.amazonaws.com/524542/p/photourl1_2018_02_08_nicdietschler_nl0zs1tw.jpg", "View")</f>
        <v>View</v>
      </c>
      <c r="F68" t="s">
        <v>17</v>
      </c>
      <c r="G68" t="s">
        <v>18</v>
      </c>
      <c r="H68">
        <v>61513</v>
      </c>
      <c r="I68" t="str">
        <f>HYPERLINK("https://www.inaturalist.org/taxa/61513-Adelges-tsugae", "View")</f>
        <v>View</v>
      </c>
      <c r="J68" t="s">
        <v>17</v>
      </c>
      <c r="K68" t="s">
        <v>19</v>
      </c>
      <c r="L68">
        <v>61513</v>
      </c>
      <c r="M68">
        <v>11.69</v>
      </c>
      <c r="N68">
        <v>91.74</v>
      </c>
      <c r="P68">
        <v>1</v>
      </c>
      <c r="R68" t="s">
        <v>33</v>
      </c>
      <c r="S68" t="s">
        <v>34</v>
      </c>
    </row>
    <row r="69" spans="1:20" x14ac:dyDescent="0.3">
      <c r="A69">
        <v>68</v>
      </c>
      <c r="B69" t="str">
        <f>HYPERLINK("https://imapinvasives.natureserve.org/imap/services/page/Presence/1342732.html", "View")</f>
        <v>View</v>
      </c>
      <c r="C69">
        <v>1342732</v>
      </c>
      <c r="D69">
        <v>1358215</v>
      </c>
      <c r="E69" t="str">
        <f>HYPERLINK("http://imap3images.s3-website-us-east-1.amazonaws.com/1358215/p/Photo2-20230705-114914.jpg", "View")</f>
        <v>View</v>
      </c>
      <c r="F69" t="s">
        <v>17</v>
      </c>
      <c r="G69" t="s">
        <v>18</v>
      </c>
      <c r="H69">
        <v>61513</v>
      </c>
      <c r="I69" t="str">
        <f>HYPERLINK("https://www.inaturalist.org/taxa/48734-Tsuga-canadensis", "View")</f>
        <v>View</v>
      </c>
      <c r="J69" t="s">
        <v>20</v>
      </c>
      <c r="K69" t="s">
        <v>21</v>
      </c>
      <c r="L69">
        <v>48734</v>
      </c>
      <c r="M69">
        <v>35.57</v>
      </c>
      <c r="N69">
        <v>98.64</v>
      </c>
      <c r="P69">
        <v>0</v>
      </c>
      <c r="R69" t="s">
        <v>37</v>
      </c>
      <c r="S69" t="s">
        <v>34</v>
      </c>
      <c r="T69" t="s">
        <v>36</v>
      </c>
    </row>
    <row r="70" spans="1:20" x14ac:dyDescent="0.3">
      <c r="A70">
        <v>69</v>
      </c>
      <c r="B70" t="str">
        <f>HYPERLINK("https://imapinvasives.natureserve.org/imap/services/page/Presence/1033403.html", "View")</f>
        <v>View</v>
      </c>
      <c r="C70">
        <v>1033403</v>
      </c>
      <c r="D70">
        <v>1035033</v>
      </c>
      <c r="E70" t="str">
        <f>HYPERLINK("http://imap3images.s3-website-us-east-1.amazonaws.com/1035033/p/imap_app_photo_1571084536858.jpg", "View")</f>
        <v>View</v>
      </c>
      <c r="F70" t="s">
        <v>17</v>
      </c>
      <c r="G70" t="s">
        <v>18</v>
      </c>
      <c r="H70">
        <v>61513</v>
      </c>
      <c r="I70" t="str">
        <f>HYPERLINK("https://www.inaturalist.org/taxa/447063-Fiorinia-externa", "View")</f>
        <v>View</v>
      </c>
      <c r="J70" t="s">
        <v>22</v>
      </c>
      <c r="K70" t="s">
        <v>23</v>
      </c>
      <c r="L70">
        <v>447063</v>
      </c>
      <c r="M70">
        <v>2.09</v>
      </c>
      <c r="N70">
        <v>12.87</v>
      </c>
      <c r="P70">
        <v>0</v>
      </c>
      <c r="R70" t="s">
        <v>37</v>
      </c>
      <c r="S70" t="s">
        <v>34</v>
      </c>
      <c r="T70" t="s">
        <v>43</v>
      </c>
    </row>
    <row r="71" spans="1:20" x14ac:dyDescent="0.3">
      <c r="A71">
        <v>70</v>
      </c>
      <c r="B71" t="str">
        <f>HYPERLINK("https://imapinvasives.natureserve.org/imap/services/page/Presence/1269835.html", "View")</f>
        <v>View</v>
      </c>
      <c r="C71">
        <v>1269835</v>
      </c>
      <c r="D71">
        <v>1278766</v>
      </c>
      <c r="E71" t="str">
        <f>HYPERLINK("http://imap3images.s3-website-us-east-1.amazonaws.com/1278766/p/imap_app_photo_1650057094093.jpg", "View")</f>
        <v>View</v>
      </c>
      <c r="F71" t="s">
        <v>17</v>
      </c>
      <c r="G71" t="s">
        <v>18</v>
      </c>
      <c r="H71">
        <v>61513</v>
      </c>
      <c r="I71" t="str">
        <f>HYPERLINK("https://www.inaturalist.org/taxa/61513-Adelges-tsugae", "View")</f>
        <v>View</v>
      </c>
      <c r="J71" t="s">
        <v>17</v>
      </c>
      <c r="K71" t="s">
        <v>19</v>
      </c>
      <c r="L71">
        <v>61513</v>
      </c>
      <c r="M71">
        <v>9.48</v>
      </c>
      <c r="N71">
        <v>99.22</v>
      </c>
      <c r="P71">
        <v>1</v>
      </c>
      <c r="R71" t="s">
        <v>33</v>
      </c>
      <c r="S71" t="s">
        <v>34</v>
      </c>
    </row>
    <row r="72" spans="1:20" x14ac:dyDescent="0.3">
      <c r="A72">
        <v>71</v>
      </c>
      <c r="B72" t="str">
        <f>HYPERLINK("https://imapinvasives.natureserve.org/imap/services/page/Presence/533116.html", "View")</f>
        <v>View</v>
      </c>
      <c r="C72">
        <v>533116</v>
      </c>
      <c r="D72">
        <v>533116</v>
      </c>
      <c r="E72" t="str">
        <f>HYPERLINK("http://imap3images.s3-website-us-east-1.amazonaws.com/533116/p/photourl1_2019_02_22_nicdietschler_m380wyqt.jpg", "View")</f>
        <v>View</v>
      </c>
      <c r="F72" t="s">
        <v>17</v>
      </c>
      <c r="G72" t="s">
        <v>18</v>
      </c>
      <c r="H72">
        <v>61513</v>
      </c>
      <c r="I72" t="str">
        <f>HYPERLINK("https://www.inaturalist.org/taxa/61513-Adelges-tsugae", "View")</f>
        <v>View</v>
      </c>
      <c r="J72" t="s">
        <v>17</v>
      </c>
      <c r="K72" t="s">
        <v>19</v>
      </c>
      <c r="L72">
        <v>61513</v>
      </c>
      <c r="M72">
        <v>9.48</v>
      </c>
      <c r="N72">
        <v>96.55</v>
      </c>
      <c r="P72">
        <v>1</v>
      </c>
      <c r="R72" t="s">
        <v>33</v>
      </c>
      <c r="S72" t="s">
        <v>34</v>
      </c>
    </row>
    <row r="73" spans="1:20" x14ac:dyDescent="0.3">
      <c r="A73">
        <v>72</v>
      </c>
      <c r="B73" t="str">
        <f>HYPERLINK("https://imapinvasives.natureserve.org/imap/services/page/Presence/1130981.html", "View")</f>
        <v>View</v>
      </c>
      <c r="C73">
        <v>1130981</v>
      </c>
      <c r="D73">
        <v>1137144</v>
      </c>
      <c r="E73" t="str">
        <f>HYPERLINK("http://imap3images.s3-website-us-east-1.amazonaws.com/1137144/p/imap_app_photo_1617151627766.jpg", "View")</f>
        <v>View</v>
      </c>
      <c r="F73" t="s">
        <v>17</v>
      </c>
      <c r="G73" t="s">
        <v>18</v>
      </c>
      <c r="H73">
        <v>61513</v>
      </c>
      <c r="I73" t="str">
        <f>HYPERLINK("https://www.inaturalist.org/taxa/61513-Adelges-tsugae", "View")</f>
        <v>View</v>
      </c>
      <c r="J73" t="s">
        <v>17</v>
      </c>
      <c r="K73" t="s">
        <v>19</v>
      </c>
      <c r="L73">
        <v>61513</v>
      </c>
      <c r="M73">
        <v>19.04</v>
      </c>
      <c r="N73">
        <v>98.74</v>
      </c>
      <c r="P73">
        <v>1</v>
      </c>
      <c r="R73" t="s">
        <v>33</v>
      </c>
      <c r="S73" t="s">
        <v>34</v>
      </c>
    </row>
    <row r="74" spans="1:20" x14ac:dyDescent="0.3">
      <c r="A74">
        <v>73</v>
      </c>
      <c r="B74" t="str">
        <f>HYPERLINK("https://imapinvasives.natureserve.org/imap/services/page/Presence/1253766.html", "View")</f>
        <v>View</v>
      </c>
      <c r="C74">
        <v>1253766</v>
      </c>
      <c r="D74">
        <v>1262325</v>
      </c>
      <c r="E74" t="str">
        <f>HYPERLINK("http://imap3images.s3-website-us-east-1.amazonaws.com/1262325/p/PXL_20220219_171920863.jpg", "View")</f>
        <v>View</v>
      </c>
      <c r="F74" t="s">
        <v>17</v>
      </c>
      <c r="G74" t="s">
        <v>18</v>
      </c>
      <c r="H74">
        <v>61513</v>
      </c>
      <c r="I74" t="str">
        <f>HYPERLINK("https://www.inaturalist.org/taxa/48734-Tsuga-canadensis", "View")</f>
        <v>View</v>
      </c>
      <c r="J74" t="s">
        <v>20</v>
      </c>
      <c r="K74" t="s">
        <v>21</v>
      </c>
      <c r="L74">
        <v>48734</v>
      </c>
      <c r="M74">
        <v>43.62</v>
      </c>
      <c r="N74">
        <v>86.53</v>
      </c>
      <c r="P74">
        <v>0</v>
      </c>
      <c r="R74" t="s">
        <v>37</v>
      </c>
      <c r="S74" t="s">
        <v>34</v>
      </c>
      <c r="T74" t="s">
        <v>36</v>
      </c>
    </row>
    <row r="75" spans="1:20" x14ac:dyDescent="0.3">
      <c r="A75">
        <v>74</v>
      </c>
      <c r="B75" t="str">
        <f>HYPERLINK("https://imapinvasives.natureserve.org/imap/services/page/Presence/1068451.html", "View")</f>
        <v>View</v>
      </c>
      <c r="C75">
        <v>1068451</v>
      </c>
      <c r="D75">
        <v>1073278</v>
      </c>
      <c r="E75" t="str">
        <f>HYPERLINK("http://imap3images.s3-website-us-east-1.amazonaws.com/1073278/p/imap_app_photo_1599567435962.jpg", "View")</f>
        <v>View</v>
      </c>
      <c r="F75" t="s">
        <v>17</v>
      </c>
      <c r="G75" t="s">
        <v>18</v>
      </c>
      <c r="H75">
        <v>61513</v>
      </c>
      <c r="I75" t="str">
        <f>HYPERLINK("https://www.inaturalist.org/taxa/447063-Fiorinia-externa", "View")</f>
        <v>View</v>
      </c>
      <c r="J75" t="s">
        <v>22</v>
      </c>
      <c r="K75" t="s">
        <v>23</v>
      </c>
      <c r="L75">
        <v>447063</v>
      </c>
      <c r="M75">
        <v>2.13</v>
      </c>
      <c r="N75">
        <v>41.14</v>
      </c>
      <c r="P75">
        <v>0</v>
      </c>
      <c r="R75" t="s">
        <v>37</v>
      </c>
      <c r="S75" t="s">
        <v>34</v>
      </c>
      <c r="T75" t="s">
        <v>43</v>
      </c>
    </row>
    <row r="76" spans="1:20" x14ac:dyDescent="0.3">
      <c r="A76">
        <v>75</v>
      </c>
      <c r="B76" t="str">
        <f>HYPERLINK("https://imapinvasives.natureserve.org/imap/services/page/Presence/1249840.html", "View")</f>
        <v>View</v>
      </c>
      <c r="C76">
        <v>1249840</v>
      </c>
      <c r="D76">
        <v>1258123</v>
      </c>
      <c r="E76" t="str">
        <f>HYPERLINK("http://imap3images.s3-website-us-east-1.amazonaws.com/1258123/p/imap_app_photo_1643033701664.jpg", "View")</f>
        <v>View</v>
      </c>
      <c r="F76" t="s">
        <v>17</v>
      </c>
      <c r="G76" t="s">
        <v>18</v>
      </c>
      <c r="H76">
        <v>61513</v>
      </c>
      <c r="I76" t="str">
        <f>HYPERLINK("https://www.inaturalist.org/taxa/61513-Adelges-tsugae", "View")</f>
        <v>View</v>
      </c>
      <c r="J76" t="s">
        <v>17</v>
      </c>
      <c r="K76" t="s">
        <v>19</v>
      </c>
      <c r="L76">
        <v>61513</v>
      </c>
      <c r="M76">
        <v>7.57</v>
      </c>
      <c r="N76">
        <v>97.9</v>
      </c>
      <c r="P76">
        <v>1</v>
      </c>
      <c r="R76" t="s">
        <v>33</v>
      </c>
      <c r="S76" t="s">
        <v>34</v>
      </c>
    </row>
    <row r="77" spans="1:20" x14ac:dyDescent="0.3">
      <c r="A77">
        <v>76</v>
      </c>
      <c r="B77" t="str">
        <f>HYPERLINK("https://imapinvasives.natureserve.org/imap/services/page/Presence/1267976.html", "View")</f>
        <v>View</v>
      </c>
      <c r="C77">
        <v>1267976</v>
      </c>
      <c r="D77">
        <v>1276781</v>
      </c>
      <c r="E77" t="str">
        <f>HYPERLINK("http://imap3images.s3-website-us-east-1.amazonaws.com/1276781/p/imap_app_photo_1648306860954.jpg", "View")</f>
        <v>View</v>
      </c>
      <c r="F77" t="s">
        <v>17</v>
      </c>
      <c r="G77" t="s">
        <v>18</v>
      </c>
      <c r="H77">
        <v>61513</v>
      </c>
      <c r="I77" t="str">
        <f>HYPERLINK("https://www.inaturalist.org/taxa/48734-Tsuga-canadensis", "View")</f>
        <v>View</v>
      </c>
      <c r="J77" t="s">
        <v>20</v>
      </c>
      <c r="K77" t="s">
        <v>21</v>
      </c>
      <c r="L77">
        <v>48734</v>
      </c>
      <c r="M77">
        <v>38.119999999999997</v>
      </c>
      <c r="N77">
        <v>50.73</v>
      </c>
      <c r="P77">
        <v>0</v>
      </c>
      <c r="R77" t="s">
        <v>37</v>
      </c>
      <c r="S77" t="s">
        <v>34</v>
      </c>
      <c r="T77" t="s">
        <v>36</v>
      </c>
    </row>
    <row r="78" spans="1:20" x14ac:dyDescent="0.3">
      <c r="A78">
        <v>77</v>
      </c>
      <c r="B78" t="str">
        <f>HYPERLINK("https://imapinvasives.natureserve.org/imap/services/page/Presence/1145795.html", "View")</f>
        <v>View</v>
      </c>
      <c r="C78">
        <v>1145795</v>
      </c>
      <c r="D78">
        <v>1152337</v>
      </c>
      <c r="E78" t="str">
        <f>HYPERLINK("http://imap3images.s3-website-us-east-1.amazonaws.com/1152337/p/imap_app_photo_1623788685516.jpg", "View")</f>
        <v>View</v>
      </c>
      <c r="F78" t="s">
        <v>17</v>
      </c>
      <c r="G78" t="s">
        <v>18</v>
      </c>
      <c r="H78">
        <v>61513</v>
      </c>
      <c r="I78" t="str">
        <f>HYPERLINK("https://www.inaturalist.org/taxa/61513-Adelges-tsugae", "View")</f>
        <v>View</v>
      </c>
      <c r="J78" t="s">
        <v>17</v>
      </c>
      <c r="K78" t="s">
        <v>19</v>
      </c>
      <c r="L78">
        <v>61513</v>
      </c>
      <c r="M78">
        <v>14.36</v>
      </c>
      <c r="N78">
        <v>88.98</v>
      </c>
      <c r="P78">
        <v>1</v>
      </c>
      <c r="R78" t="s">
        <v>33</v>
      </c>
      <c r="S78" t="s">
        <v>34</v>
      </c>
    </row>
    <row r="79" spans="1:20" x14ac:dyDescent="0.3">
      <c r="A79">
        <v>78</v>
      </c>
      <c r="B79" t="str">
        <f>HYPERLINK("https://imapinvasives.natureserve.org/imap/services/page/Presence/532891.html", "View")</f>
        <v>View</v>
      </c>
      <c r="C79">
        <v>532891</v>
      </c>
      <c r="D79">
        <v>532891</v>
      </c>
      <c r="E79" t="str">
        <f>HYPERLINK("http://imap3images.s3-website-us-east-1.amazonaws.com/532891/p/photourl1_2019_02_08_garboleslav_btdmfr30.jpg", "View")</f>
        <v>View</v>
      </c>
      <c r="F79" t="s">
        <v>17</v>
      </c>
      <c r="G79" t="s">
        <v>18</v>
      </c>
      <c r="H79">
        <v>61513</v>
      </c>
      <c r="I79" t="str">
        <f>HYPERLINK("https://www.inaturalist.org/taxa/447063-Fiorinia-externa", "View")</f>
        <v>View</v>
      </c>
      <c r="J79" t="s">
        <v>22</v>
      </c>
      <c r="K79" t="s">
        <v>23</v>
      </c>
      <c r="L79">
        <v>447063</v>
      </c>
      <c r="M79">
        <v>1.94</v>
      </c>
      <c r="N79">
        <v>61.43</v>
      </c>
      <c r="P79">
        <v>0</v>
      </c>
      <c r="R79" t="s">
        <v>42</v>
      </c>
      <c r="S79" t="s">
        <v>34</v>
      </c>
      <c r="T79" t="s">
        <v>43</v>
      </c>
    </row>
    <row r="80" spans="1:20" x14ac:dyDescent="0.3">
      <c r="A80">
        <v>79</v>
      </c>
      <c r="B80" t="str">
        <f>HYPERLINK("https://imapinvasives.natureserve.org/imap/services/page/Presence/1390098.html", "View")</f>
        <v>View</v>
      </c>
      <c r="C80">
        <v>1390098</v>
      </c>
      <c r="D80">
        <v>1408204</v>
      </c>
      <c r="E80" t="str">
        <f>HYPERLINK("http://imap3images.s3-website-us-east-1.amazonaws.com/1408204/p/imap_app_photo_1709210340452.jpg", "View")</f>
        <v>View</v>
      </c>
      <c r="F80" t="s">
        <v>17</v>
      </c>
      <c r="G80" t="s">
        <v>18</v>
      </c>
      <c r="H80">
        <v>61513</v>
      </c>
      <c r="I80" t="str">
        <f>HYPERLINK("https://www.inaturalist.org/taxa/61513-Adelges-tsugae", "View")</f>
        <v>View</v>
      </c>
      <c r="J80" t="s">
        <v>17</v>
      </c>
      <c r="K80" t="s">
        <v>19</v>
      </c>
      <c r="L80">
        <v>61513</v>
      </c>
      <c r="M80">
        <v>10.72</v>
      </c>
      <c r="N80">
        <v>92.24</v>
      </c>
      <c r="P80">
        <v>1</v>
      </c>
      <c r="R80" t="s">
        <v>33</v>
      </c>
      <c r="S80" t="s">
        <v>34</v>
      </c>
    </row>
    <row r="81" spans="1:20" x14ac:dyDescent="0.3">
      <c r="A81">
        <v>80</v>
      </c>
      <c r="B81" t="str">
        <f>HYPERLINK("https://imapinvasives.natureserve.org/imap/services/page/Presence/524385.html", "View")</f>
        <v>View</v>
      </c>
      <c r="C81">
        <v>524385</v>
      </c>
      <c r="D81">
        <v>524385</v>
      </c>
      <c r="E81" t="str">
        <f>HYPERLINK("http://imap3images.s3-website-us-east-1.amazonaws.com/524385/p/photourl1_2018_01_08_bagwright_9czbc34m.jpg", "View")</f>
        <v>View</v>
      </c>
      <c r="F81" t="s">
        <v>17</v>
      </c>
      <c r="G81" t="s">
        <v>18</v>
      </c>
      <c r="H81">
        <v>61513</v>
      </c>
      <c r="I81" t="str">
        <f>HYPERLINK("https://www.inaturalist.org/taxa/61513-Adelges-tsugae", "View")</f>
        <v>View</v>
      </c>
      <c r="J81" t="s">
        <v>17</v>
      </c>
      <c r="K81" t="s">
        <v>19</v>
      </c>
      <c r="L81">
        <v>61513</v>
      </c>
      <c r="M81">
        <v>23.25</v>
      </c>
      <c r="N81">
        <v>99.04</v>
      </c>
      <c r="P81">
        <v>1</v>
      </c>
      <c r="R81" t="s">
        <v>33</v>
      </c>
      <c r="S81" t="s">
        <v>34</v>
      </c>
    </row>
    <row r="82" spans="1:20" x14ac:dyDescent="0.3">
      <c r="A82">
        <v>81</v>
      </c>
      <c r="B82" t="str">
        <f>HYPERLINK("https://imapinvasives.natureserve.org/imap/services/page/Presence/1326655.html", "View")</f>
        <v>View</v>
      </c>
      <c r="C82">
        <v>1326655</v>
      </c>
      <c r="D82">
        <v>1339370</v>
      </c>
      <c r="E82" t="str">
        <f>HYPERLINK("http://imap3images.s3-website-us-east-1.amazonaws.com/1339370/p/imap_app_photo_1682387495405.jpg", "View")</f>
        <v>View</v>
      </c>
      <c r="F82" t="s">
        <v>17</v>
      </c>
      <c r="G82" t="s">
        <v>18</v>
      </c>
      <c r="H82">
        <v>61513</v>
      </c>
      <c r="I82" t="str">
        <f>HYPERLINK("https://www.inaturalist.org/taxa/61513-Adelges-tsugae", "View")</f>
        <v>View</v>
      </c>
      <c r="J82" t="s">
        <v>17</v>
      </c>
      <c r="K82" t="s">
        <v>19</v>
      </c>
      <c r="L82">
        <v>61513</v>
      </c>
      <c r="M82">
        <v>26.88</v>
      </c>
      <c r="N82">
        <v>92.57</v>
      </c>
      <c r="P82">
        <v>1</v>
      </c>
      <c r="R82" t="s">
        <v>33</v>
      </c>
      <c r="S82" t="s">
        <v>34</v>
      </c>
    </row>
    <row r="83" spans="1:20" x14ac:dyDescent="0.3">
      <c r="A83">
        <v>82</v>
      </c>
      <c r="B83" t="str">
        <f>HYPERLINK("https://imapinvasives.natureserve.org/imap/services/page/Presence/1410938.html", "View")</f>
        <v>View</v>
      </c>
      <c r="C83">
        <v>1410938</v>
      </c>
      <c r="D83">
        <v>1423478</v>
      </c>
      <c r="E83" t="str">
        <f>HYPERLINK("http://imap3images.s3-website-us-east-1.amazonaws.com/1423478/p/imap_app_photo_1718041187178.jpg", "View")</f>
        <v>View</v>
      </c>
      <c r="F83" t="s">
        <v>17</v>
      </c>
      <c r="G83" t="s">
        <v>18</v>
      </c>
      <c r="H83">
        <v>61513</v>
      </c>
      <c r="I83" t="str">
        <f>HYPERLINK("https://www.inaturalist.org/taxa/61513-Adelges-tsugae", "View")</f>
        <v>View</v>
      </c>
      <c r="J83" t="s">
        <v>17</v>
      </c>
      <c r="K83" t="s">
        <v>19</v>
      </c>
      <c r="L83">
        <v>61513</v>
      </c>
      <c r="M83">
        <v>13.26</v>
      </c>
      <c r="N83">
        <v>79.72</v>
      </c>
      <c r="P83">
        <v>1</v>
      </c>
      <c r="R83" t="s">
        <v>33</v>
      </c>
      <c r="S83" t="s">
        <v>34</v>
      </c>
    </row>
    <row r="84" spans="1:20" x14ac:dyDescent="0.3">
      <c r="A84">
        <v>83</v>
      </c>
      <c r="B84" t="str">
        <f>HYPERLINK("https://imapinvasives.natureserve.org/imap/services/page/Presence/1375146.html", "View")</f>
        <v>View</v>
      </c>
      <c r="C84">
        <v>1375146</v>
      </c>
      <c r="D84">
        <v>1393218</v>
      </c>
      <c r="E84" t="str">
        <f>HYPERLINK("http://imap3images.s3-website-us-east-1.amazonaws.com/1393218/p/imap_app_photo_1706918753805.jpg", "View")</f>
        <v>View</v>
      </c>
      <c r="F84" t="s">
        <v>17</v>
      </c>
      <c r="G84" t="s">
        <v>18</v>
      </c>
      <c r="H84">
        <v>61513</v>
      </c>
      <c r="I84" t="str">
        <f>HYPERLINK("https://www.inaturalist.org/taxa/48734-Tsuga-canadensis", "View")</f>
        <v>View</v>
      </c>
      <c r="J84" t="s">
        <v>20</v>
      </c>
      <c r="K84" t="s">
        <v>21</v>
      </c>
      <c r="L84">
        <v>48734</v>
      </c>
      <c r="M84">
        <v>40.369999999999997</v>
      </c>
      <c r="N84">
        <v>62.45</v>
      </c>
      <c r="P84">
        <v>0</v>
      </c>
      <c r="R84" t="s">
        <v>37</v>
      </c>
      <c r="S84" t="s">
        <v>34</v>
      </c>
      <c r="T84" t="s">
        <v>36</v>
      </c>
    </row>
    <row r="85" spans="1:20" x14ac:dyDescent="0.3">
      <c r="A85">
        <v>84</v>
      </c>
      <c r="B85" t="str">
        <f>HYPERLINK("https://imapinvasives.natureserve.org/imap/services/page/Presence/1320925.html", "View")</f>
        <v>View</v>
      </c>
      <c r="C85">
        <v>1320925</v>
      </c>
      <c r="D85">
        <v>1332840</v>
      </c>
      <c r="E85" t="str">
        <f>HYPERLINK("http://imap3images.s3-website-us-east-1.amazonaws.com/1332840/p/imap_app_photo_1675728305553.jpg", "View")</f>
        <v>View</v>
      </c>
      <c r="F85" t="s">
        <v>17</v>
      </c>
      <c r="G85" t="s">
        <v>18</v>
      </c>
      <c r="H85">
        <v>61513</v>
      </c>
      <c r="I85" t="str">
        <f>HYPERLINK("https://www.inaturalist.org/taxa/61513-Adelges-tsugae", "View")</f>
        <v>View</v>
      </c>
      <c r="J85" t="s">
        <v>17</v>
      </c>
      <c r="K85" t="s">
        <v>19</v>
      </c>
      <c r="L85">
        <v>61513</v>
      </c>
      <c r="M85">
        <v>13.26</v>
      </c>
      <c r="N85">
        <v>80.91</v>
      </c>
      <c r="P85">
        <v>1</v>
      </c>
      <c r="R85" t="s">
        <v>33</v>
      </c>
      <c r="S85" t="s">
        <v>34</v>
      </c>
    </row>
    <row r="86" spans="1:20" x14ac:dyDescent="0.3">
      <c r="A86">
        <v>85</v>
      </c>
      <c r="B86" t="str">
        <f>HYPERLINK("https://imapinvasives.natureserve.org/imap/services/page/Presence/1320970.html", "View")</f>
        <v>View</v>
      </c>
      <c r="C86">
        <v>1320970</v>
      </c>
      <c r="D86">
        <v>1332905</v>
      </c>
      <c r="E86" t="str">
        <f>HYPERLINK("http://imap3images.s3-website-us-east-1.amazonaws.com/1332905/p/imap_app_photo_1675899455794.jpg", "View")</f>
        <v>View</v>
      </c>
      <c r="F86" t="s">
        <v>17</v>
      </c>
      <c r="G86" t="s">
        <v>18</v>
      </c>
      <c r="H86">
        <v>61513</v>
      </c>
      <c r="I86" t="str">
        <f>HYPERLINK("https://www.inaturalist.org/taxa/48734-Tsuga-canadensis", "View")</f>
        <v>View</v>
      </c>
      <c r="J86" t="s">
        <v>20</v>
      </c>
      <c r="K86" t="s">
        <v>21</v>
      </c>
      <c r="L86">
        <v>48734</v>
      </c>
      <c r="M86">
        <v>53.7</v>
      </c>
      <c r="N86">
        <v>97.14</v>
      </c>
      <c r="P86">
        <v>0</v>
      </c>
      <c r="R86" t="s">
        <v>37</v>
      </c>
      <c r="S86" t="s">
        <v>34</v>
      </c>
      <c r="T86" t="s">
        <v>36</v>
      </c>
    </row>
    <row r="87" spans="1:20" x14ac:dyDescent="0.3">
      <c r="A87">
        <v>86</v>
      </c>
      <c r="B87" t="str">
        <f>HYPERLINK("https://imapinvasives.natureserve.org/imap/services/page/Presence/1339398.html", "View")</f>
        <v>View</v>
      </c>
      <c r="C87">
        <v>1339398</v>
      </c>
      <c r="D87">
        <v>1354277</v>
      </c>
      <c r="E87" t="str">
        <f>HYPERLINK("http://imap3images.s3-website-us-east-1.amazonaws.com/1354277/p/IMG_3669.jpg", "View")</f>
        <v>View</v>
      </c>
      <c r="F87" t="s">
        <v>17</v>
      </c>
      <c r="G87" t="s">
        <v>18</v>
      </c>
      <c r="H87">
        <v>61513</v>
      </c>
      <c r="I87" t="str">
        <f>HYPERLINK("https://www.inaturalist.org/taxa/136295-Calocedrus-formosana", "View")</f>
        <v>View</v>
      </c>
      <c r="J87" t="s">
        <v>28</v>
      </c>
      <c r="K87" t="s">
        <v>29</v>
      </c>
      <c r="L87">
        <v>136295</v>
      </c>
      <c r="M87">
        <v>0</v>
      </c>
      <c r="N87">
        <v>17.53</v>
      </c>
      <c r="P87">
        <v>0</v>
      </c>
      <c r="R87" t="s">
        <v>40</v>
      </c>
      <c r="S87" t="s">
        <v>38</v>
      </c>
    </row>
    <row r="88" spans="1:20" x14ac:dyDescent="0.3">
      <c r="A88">
        <v>87</v>
      </c>
      <c r="B88" t="str">
        <f>HYPERLINK("https://imapinvasives.natureserve.org/imap/services/page/Presence/1393462.html", "View")</f>
        <v>View</v>
      </c>
      <c r="C88">
        <v>1393462</v>
      </c>
      <c r="D88">
        <v>1411595</v>
      </c>
      <c r="E88" t="str">
        <f>HYPERLINK("http://imap3images.s3-website-us-east-1.amazonaws.com/1411595/p/imap_app_photo_1711555697992.jpg", "View")</f>
        <v>View</v>
      </c>
      <c r="F88" t="s">
        <v>17</v>
      </c>
      <c r="G88" t="s">
        <v>18</v>
      </c>
      <c r="H88">
        <v>61513</v>
      </c>
      <c r="I88" t="str">
        <f>HYPERLINK("https://www.inaturalist.org/taxa/61513-Adelges-tsugae", "View")</f>
        <v>View</v>
      </c>
      <c r="J88" t="s">
        <v>17</v>
      </c>
      <c r="K88" t="s">
        <v>19</v>
      </c>
      <c r="L88">
        <v>61513</v>
      </c>
      <c r="M88">
        <v>9.57</v>
      </c>
      <c r="N88">
        <v>74.319999999999993</v>
      </c>
      <c r="P88">
        <v>1</v>
      </c>
      <c r="R88" t="s">
        <v>33</v>
      </c>
      <c r="S88" t="s">
        <v>34</v>
      </c>
    </row>
    <row r="89" spans="1:20" x14ac:dyDescent="0.3">
      <c r="A89">
        <v>88</v>
      </c>
      <c r="B89" t="str">
        <f>HYPERLINK("https://imapinvasives.natureserve.org/imap/services/page/Presence/1332583.html", "View")</f>
        <v>View</v>
      </c>
      <c r="C89">
        <v>1332583</v>
      </c>
      <c r="D89">
        <v>1346511</v>
      </c>
      <c r="E89" t="str">
        <f>HYPERLINK("http://imap3images.s3-website-us-east-1.amazonaws.com/1346511/p/imap_app_photo_1685574953707.jpg", "View")</f>
        <v>View</v>
      </c>
      <c r="F89" t="s">
        <v>17</v>
      </c>
      <c r="G89" t="s">
        <v>18</v>
      </c>
      <c r="H89">
        <v>61513</v>
      </c>
      <c r="I89" t="str">
        <f>HYPERLINK("https://www.inaturalist.org/taxa/61513-Adelges-tsugae", "View")</f>
        <v>View</v>
      </c>
      <c r="J89" t="s">
        <v>17</v>
      </c>
      <c r="K89" t="s">
        <v>19</v>
      </c>
      <c r="L89">
        <v>61513</v>
      </c>
      <c r="M89">
        <v>36.64</v>
      </c>
      <c r="N89">
        <v>97.62</v>
      </c>
      <c r="P89">
        <v>1</v>
      </c>
      <c r="R89" t="s">
        <v>33</v>
      </c>
      <c r="S89" t="s">
        <v>34</v>
      </c>
    </row>
    <row r="90" spans="1:20" x14ac:dyDescent="0.3">
      <c r="A90">
        <v>89</v>
      </c>
      <c r="B90" t="str">
        <f>HYPERLINK("https://imapinvasives.natureserve.org/imap/services/page/Presence/1077921.html", "View")</f>
        <v>View</v>
      </c>
      <c r="C90">
        <v>1077921</v>
      </c>
      <c r="D90">
        <v>1083501</v>
      </c>
      <c r="E90" t="str">
        <f>HYPERLINK("http://imap3images.s3-website-us-east-1.amazonaws.com/1083501/p/1036A732-B4C4-44BF-8E71-D4E1E89CEFDA.jpeg", "View")</f>
        <v>View</v>
      </c>
      <c r="F90" t="s">
        <v>17</v>
      </c>
      <c r="G90" t="s">
        <v>18</v>
      </c>
      <c r="H90">
        <v>61513</v>
      </c>
      <c r="I90" t="str">
        <f>HYPERLINK("https://www.inaturalist.org/taxa/61513-Adelges-tsugae", "View")</f>
        <v>View</v>
      </c>
      <c r="J90" t="s">
        <v>17</v>
      </c>
      <c r="K90" t="s">
        <v>19</v>
      </c>
      <c r="L90">
        <v>61513</v>
      </c>
      <c r="M90">
        <v>36.64</v>
      </c>
      <c r="N90">
        <v>96.52</v>
      </c>
      <c r="P90">
        <v>1</v>
      </c>
      <c r="R90" t="s">
        <v>33</v>
      </c>
      <c r="S90" t="s">
        <v>34</v>
      </c>
    </row>
    <row r="91" spans="1:20" x14ac:dyDescent="0.3">
      <c r="A91">
        <v>90</v>
      </c>
      <c r="B91" t="str">
        <f>HYPERLINK("https://imapinvasives.natureserve.org/imap/services/page/Presence/1322584.html", "View")</f>
        <v>View</v>
      </c>
      <c r="C91">
        <v>1322584</v>
      </c>
      <c r="D91">
        <v>1334698</v>
      </c>
      <c r="E91" t="str">
        <f>HYPERLINK("http://imap3images.s3-website-us-east-1.amazonaws.com/1334698/p/HWA_1_Belles.jpg", "View")</f>
        <v>View</v>
      </c>
      <c r="F91" t="s">
        <v>17</v>
      </c>
      <c r="G91" t="s">
        <v>18</v>
      </c>
      <c r="H91">
        <v>61513</v>
      </c>
      <c r="I91" t="str">
        <f>HYPERLINK("https://www.inaturalist.org/taxa/61513-Adelges-tsugae", "View")</f>
        <v>View</v>
      </c>
      <c r="J91" t="s">
        <v>17</v>
      </c>
      <c r="K91" t="s">
        <v>19</v>
      </c>
      <c r="L91">
        <v>61513</v>
      </c>
      <c r="M91">
        <v>8.6300000000000008</v>
      </c>
      <c r="N91">
        <v>91.97</v>
      </c>
      <c r="P91">
        <v>1</v>
      </c>
      <c r="R91" t="s">
        <v>33</v>
      </c>
      <c r="S91" t="s">
        <v>34</v>
      </c>
    </row>
    <row r="92" spans="1:20" x14ac:dyDescent="0.3">
      <c r="A92">
        <v>91</v>
      </c>
      <c r="B92" t="str">
        <f>HYPERLINK("https://imapinvasives.natureserve.org/imap/services/page/Presence/334679.html", "View")</f>
        <v>View</v>
      </c>
      <c r="C92">
        <v>334679</v>
      </c>
      <c r="D92">
        <v>334679</v>
      </c>
      <c r="E92" t="str">
        <f>HYPERLINK("http://imap3images.s3-website-us-east-1.amazonaws.com/334679/p/photourl1_2012_11_21_alyreid_u7d1b0vk.jpg", "View")</f>
        <v>View</v>
      </c>
      <c r="F92" t="s">
        <v>17</v>
      </c>
      <c r="G92" t="s">
        <v>18</v>
      </c>
      <c r="H92">
        <v>61513</v>
      </c>
      <c r="I92" t="str">
        <f>HYPERLINK("https://www.inaturalist.org/taxa/48734-Tsuga-canadensis", "View")</f>
        <v>View</v>
      </c>
      <c r="J92" t="s">
        <v>20</v>
      </c>
      <c r="K92" t="s">
        <v>21</v>
      </c>
      <c r="L92">
        <v>48734</v>
      </c>
      <c r="M92">
        <v>35.28</v>
      </c>
      <c r="N92">
        <v>55.24</v>
      </c>
      <c r="P92">
        <v>0</v>
      </c>
      <c r="R92" t="s">
        <v>35</v>
      </c>
      <c r="S92" t="s">
        <v>38</v>
      </c>
      <c r="T92" t="s">
        <v>36</v>
      </c>
    </row>
    <row r="93" spans="1:20" x14ac:dyDescent="0.3">
      <c r="A93">
        <v>92</v>
      </c>
      <c r="B93" t="str">
        <f>HYPERLINK("https://imapinvasives.natureserve.org/imap/services/page/Presence/336447.html", "View")</f>
        <v>View</v>
      </c>
      <c r="C93">
        <v>336447</v>
      </c>
      <c r="D93">
        <v>336447</v>
      </c>
      <c r="E93" t="str">
        <f>HYPERLINK("http://imap3images.s3-website-us-east-1.amazonaws.com/336447/p/photourl2_2013_08_08_scowilkerson_18m2j8af.jpg", "View")</f>
        <v>View</v>
      </c>
      <c r="F93" t="s">
        <v>17</v>
      </c>
      <c r="G93" t="s">
        <v>18</v>
      </c>
      <c r="H93">
        <v>61513</v>
      </c>
      <c r="I93" t="str">
        <f>HYPERLINK("https://www.inaturalist.org/taxa/48734-Tsuga-canadensis", "View")</f>
        <v>View</v>
      </c>
      <c r="J93" t="s">
        <v>20</v>
      </c>
      <c r="K93" t="s">
        <v>21</v>
      </c>
      <c r="L93">
        <v>48734</v>
      </c>
      <c r="M93">
        <v>35.630000000000003</v>
      </c>
      <c r="N93">
        <v>12.89</v>
      </c>
      <c r="P93">
        <v>0</v>
      </c>
      <c r="R93" t="s">
        <v>37</v>
      </c>
      <c r="S93" t="s">
        <v>38</v>
      </c>
      <c r="T93" t="s">
        <v>36</v>
      </c>
    </row>
    <row r="94" spans="1:20" x14ac:dyDescent="0.3">
      <c r="A94">
        <v>93</v>
      </c>
      <c r="B94" t="str">
        <f>HYPERLINK("https://imapinvasives.natureserve.org/imap/services/page/Presence/1332054.html", "View")</f>
        <v>View</v>
      </c>
      <c r="C94">
        <v>1332054</v>
      </c>
      <c r="D94">
        <v>1345720</v>
      </c>
      <c r="E94" t="str">
        <f>HYPERLINK("http://imap3images.s3-website-us-east-1.amazonaws.com/1345720/p/imap_app_photo_1685103547963.jpg", "View")</f>
        <v>View</v>
      </c>
      <c r="F94" t="s">
        <v>17</v>
      </c>
      <c r="G94" t="s">
        <v>18</v>
      </c>
      <c r="H94">
        <v>61513</v>
      </c>
      <c r="I94" t="str">
        <f>HYPERLINK("https://www.inaturalist.org/taxa/61513-Adelges-tsugae", "View")</f>
        <v>View</v>
      </c>
      <c r="J94" t="s">
        <v>17</v>
      </c>
      <c r="K94" t="s">
        <v>19</v>
      </c>
      <c r="L94">
        <v>61513</v>
      </c>
      <c r="M94">
        <v>8.16</v>
      </c>
      <c r="N94">
        <v>98.77</v>
      </c>
      <c r="P94">
        <v>1</v>
      </c>
      <c r="R94" t="s">
        <v>33</v>
      </c>
      <c r="S94" t="s">
        <v>34</v>
      </c>
    </row>
    <row r="95" spans="1:20" x14ac:dyDescent="0.3">
      <c r="A95">
        <v>94</v>
      </c>
      <c r="B95" t="str">
        <f>HYPERLINK("https://imapinvasives.natureserve.org/imap/services/page/Presence/1046343.html", "View")</f>
        <v>View</v>
      </c>
      <c r="C95">
        <v>1046343</v>
      </c>
      <c r="D95">
        <v>1050258</v>
      </c>
      <c r="E95" t="str">
        <f>HYPERLINK("http://imap3images.s3-website-us-east-1.amazonaws.com/1050258/p/imap_app_photo_1589411210029.jpg", "View")</f>
        <v>View</v>
      </c>
      <c r="F95" t="s">
        <v>17</v>
      </c>
      <c r="G95" t="s">
        <v>18</v>
      </c>
      <c r="H95">
        <v>61513</v>
      </c>
      <c r="I95" t="str">
        <f>HYPERLINK("https://www.inaturalist.org/taxa/61513-Adelges-tsugae", "View")</f>
        <v>View</v>
      </c>
      <c r="J95" t="s">
        <v>17</v>
      </c>
      <c r="K95" t="s">
        <v>19</v>
      </c>
      <c r="L95">
        <v>61513</v>
      </c>
      <c r="M95">
        <v>7.57</v>
      </c>
      <c r="N95">
        <v>40.1</v>
      </c>
      <c r="P95">
        <v>1</v>
      </c>
      <c r="R95" t="s">
        <v>33</v>
      </c>
      <c r="S95" t="s">
        <v>34</v>
      </c>
    </row>
    <row r="96" spans="1:20" x14ac:dyDescent="0.3">
      <c r="A96">
        <v>95</v>
      </c>
      <c r="B96" t="str">
        <f>HYPERLINK("https://imapinvasives.natureserve.org/imap/services/page/Presence/1140499.html", "View")</f>
        <v>View</v>
      </c>
      <c r="C96">
        <v>1140499</v>
      </c>
      <c r="D96">
        <v>1147022</v>
      </c>
      <c r="E96" t="str">
        <f>HYPERLINK("http://imap3images.s3-website-us-east-1.amazonaws.com/1147022/p/imap_app_photo_1623095411709.jpg", "View")</f>
        <v>View</v>
      </c>
      <c r="F96" t="s">
        <v>17</v>
      </c>
      <c r="G96" t="s">
        <v>18</v>
      </c>
      <c r="H96">
        <v>61513</v>
      </c>
      <c r="I96" t="str">
        <f>HYPERLINK("https://www.inaturalist.org/taxa/48734-Tsuga-canadensis", "View")</f>
        <v>View</v>
      </c>
      <c r="J96" t="s">
        <v>20</v>
      </c>
      <c r="K96" t="s">
        <v>21</v>
      </c>
      <c r="L96">
        <v>48734</v>
      </c>
      <c r="M96">
        <v>38.119999999999997</v>
      </c>
      <c r="N96">
        <v>78.86</v>
      </c>
      <c r="P96">
        <v>0</v>
      </c>
      <c r="R96" t="s">
        <v>37</v>
      </c>
      <c r="S96" t="s">
        <v>34</v>
      </c>
      <c r="T96" t="s">
        <v>36</v>
      </c>
    </row>
    <row r="97" spans="1:20" x14ac:dyDescent="0.3">
      <c r="A97">
        <v>96</v>
      </c>
      <c r="B97" t="str">
        <f>HYPERLINK("https://imapinvasives.natureserve.org/imap/services/page/Presence/1320977.html", "View")</f>
        <v>View</v>
      </c>
      <c r="C97">
        <v>1320977</v>
      </c>
      <c r="D97">
        <v>1332912</v>
      </c>
      <c r="E97" t="str">
        <f>HYPERLINK("http://imap3images.s3-website-us-east-1.amazonaws.com/1332912/p/imap_app_photo_1675899477735.jpg", "View")</f>
        <v>View</v>
      </c>
      <c r="F97" t="s">
        <v>17</v>
      </c>
      <c r="G97" t="s">
        <v>18</v>
      </c>
      <c r="H97">
        <v>61513</v>
      </c>
      <c r="I97" t="str">
        <f>HYPERLINK("https://www.inaturalist.org/taxa/48734-Tsuga-canadensis", "View")</f>
        <v>View</v>
      </c>
      <c r="J97" t="s">
        <v>20</v>
      </c>
      <c r="K97" t="s">
        <v>21</v>
      </c>
      <c r="L97">
        <v>48734</v>
      </c>
      <c r="M97">
        <v>53.7</v>
      </c>
      <c r="N97">
        <v>93.77</v>
      </c>
      <c r="P97">
        <v>0</v>
      </c>
      <c r="R97" t="s">
        <v>37</v>
      </c>
      <c r="S97" t="s">
        <v>34</v>
      </c>
      <c r="T97" t="s">
        <v>36</v>
      </c>
    </row>
    <row r="98" spans="1:20" x14ac:dyDescent="0.3">
      <c r="A98">
        <v>97</v>
      </c>
      <c r="B98" t="str">
        <f>HYPERLINK("https://imapinvasives.natureserve.org/imap/services/page/Presence/1111115.html", "View")</f>
        <v>View</v>
      </c>
      <c r="C98">
        <v>1111115</v>
      </c>
      <c r="D98">
        <v>1116982</v>
      </c>
      <c r="E98" t="str">
        <f>HYPERLINK("http://imap3images.s3-website-us-east-1.amazonaws.com/1116982/p/imap_app_photo_1607896057443.jpg", "View")</f>
        <v>View</v>
      </c>
      <c r="F98" t="s">
        <v>17</v>
      </c>
      <c r="G98" t="s">
        <v>18</v>
      </c>
      <c r="H98">
        <v>61513</v>
      </c>
      <c r="I98" t="str">
        <f>HYPERLINK("https://www.inaturalist.org/taxa/61513-Adelges-tsugae", "View")</f>
        <v>View</v>
      </c>
      <c r="J98" t="s">
        <v>17</v>
      </c>
      <c r="K98" t="s">
        <v>19</v>
      </c>
      <c r="L98">
        <v>61513</v>
      </c>
      <c r="M98">
        <v>26.88</v>
      </c>
      <c r="N98">
        <v>94.02</v>
      </c>
      <c r="P98">
        <v>1</v>
      </c>
      <c r="R98" t="s">
        <v>33</v>
      </c>
      <c r="S98" t="s">
        <v>34</v>
      </c>
    </row>
    <row r="99" spans="1:20" x14ac:dyDescent="0.3">
      <c r="A99">
        <v>98</v>
      </c>
      <c r="B99" t="str">
        <f>HYPERLINK("https://imapinvasives.natureserve.org/imap/services/page/Presence/1375067.html", "View")</f>
        <v>View</v>
      </c>
      <c r="C99">
        <v>1375067</v>
      </c>
      <c r="D99">
        <v>1393137</v>
      </c>
      <c r="E99" t="str">
        <f>HYPERLINK("http://imap3images.s3-website-us-east-1.amazonaws.com/1393137/p/imap_app_photo_1706495275140.jpg", "View")</f>
        <v>View</v>
      </c>
      <c r="F99" t="s">
        <v>17</v>
      </c>
      <c r="G99" t="s">
        <v>18</v>
      </c>
      <c r="H99">
        <v>61513</v>
      </c>
      <c r="I99" t="str">
        <f>HYPERLINK("https://www.inaturalist.org/taxa/61513-Adelges-tsugae", "View")</f>
        <v>View</v>
      </c>
      <c r="J99" t="s">
        <v>17</v>
      </c>
      <c r="K99" t="s">
        <v>19</v>
      </c>
      <c r="L99">
        <v>61513</v>
      </c>
      <c r="M99">
        <v>10.45</v>
      </c>
      <c r="N99">
        <v>51.81</v>
      </c>
      <c r="P99">
        <v>1</v>
      </c>
      <c r="R99" t="s">
        <v>33</v>
      </c>
      <c r="S99" t="s">
        <v>34</v>
      </c>
    </row>
    <row r="100" spans="1:20" x14ac:dyDescent="0.3">
      <c r="A100">
        <v>99</v>
      </c>
      <c r="B100" t="str">
        <f>HYPERLINK("https://imapinvasives.natureserve.org/imap/services/page/Presence/1274060.html", "View")</f>
        <v>View</v>
      </c>
      <c r="C100">
        <v>1274060</v>
      </c>
      <c r="D100">
        <v>1283262</v>
      </c>
      <c r="E100" t="str">
        <f>HYPERLINK("http://imap3images.s3-website-us-east-1.amazonaws.com/1283262/p/imap_app_photo_1654902179352.jpg", "View")</f>
        <v>View</v>
      </c>
      <c r="F100" t="s">
        <v>17</v>
      </c>
      <c r="G100" t="s">
        <v>18</v>
      </c>
      <c r="H100">
        <v>61513</v>
      </c>
      <c r="I100" t="str">
        <f>HYPERLINK("https://www.inaturalist.org/taxa/61513-Adelges-tsugae", "View")</f>
        <v>View</v>
      </c>
      <c r="J100" t="s">
        <v>17</v>
      </c>
      <c r="K100" t="s">
        <v>19</v>
      </c>
      <c r="L100">
        <v>61513</v>
      </c>
      <c r="M100">
        <v>20.96</v>
      </c>
      <c r="N100">
        <v>39.65</v>
      </c>
      <c r="P100">
        <v>1</v>
      </c>
      <c r="R100" t="s">
        <v>33</v>
      </c>
      <c r="S100" t="s">
        <v>34</v>
      </c>
    </row>
    <row r="101" spans="1:20" x14ac:dyDescent="0.3">
      <c r="A101">
        <v>100</v>
      </c>
      <c r="B101" t="str">
        <f>HYPERLINK("https://imapinvasives.natureserve.org/imap/services/page/Presence/525438.html", "View")</f>
        <v>View</v>
      </c>
      <c r="C101">
        <v>525438</v>
      </c>
      <c r="D101">
        <v>525438</v>
      </c>
      <c r="E101" t="str">
        <f>HYPERLINK("http://imap3images.s3-website-us-east-1.amazonaws.com/525438/p/photourl1_2018_07_13_bramudrzynski_7gn850ax.jpg", "View")</f>
        <v>View</v>
      </c>
      <c r="F101" t="s">
        <v>17</v>
      </c>
      <c r="G101" t="s">
        <v>18</v>
      </c>
      <c r="H101">
        <v>61513</v>
      </c>
      <c r="I101" t="str">
        <f>HYPERLINK("https://www.inaturalist.org/taxa/61513-Adelges-tsugae", "View")</f>
        <v>View</v>
      </c>
      <c r="J101" t="s">
        <v>17</v>
      </c>
      <c r="K101" t="s">
        <v>19</v>
      </c>
      <c r="L101">
        <v>61513</v>
      </c>
      <c r="M101">
        <v>7.25</v>
      </c>
      <c r="N101">
        <v>83.26</v>
      </c>
      <c r="P101">
        <v>1</v>
      </c>
      <c r="R101" t="s">
        <v>33</v>
      </c>
      <c r="S101" t="s">
        <v>34</v>
      </c>
    </row>
  </sheetData>
  <dataValidations count="2">
    <dataValidation type="list" allowBlank="1" showInputMessage="1" showErrorMessage="1" sqref="R1:R1048576" xr:uid="{17EEEBE8-941B-4B04-A17F-4C899B4B3AA8}">
      <formula1>"iMap is only correct, iNat is only correct, Both iMap and iNat correct, Both iMap and iNat incorrect, Undeterminable"</formula1>
    </dataValidation>
    <dataValidation type="list" allowBlank="1" showInputMessage="1" showErrorMessage="1" sqref="S1:S1048576" xr:uid="{ADE31112-BA20-462E-B9DE-9DB77A1DE0F9}">
      <formula1>"Good photo, Bad-Photo taken from long distance, Bad-Multiple focused species, Bad-limited contrast, Bad-Blur Photo, Bad-Dried Stems, Bad-Focused Different Species"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Taposh Mollick</cp:lastModifiedBy>
  <dcterms:created xsi:type="dcterms:W3CDTF">2025-01-15T18:01:30Z</dcterms:created>
  <dcterms:modified xsi:type="dcterms:W3CDTF">2025-02-05T01:58:13Z</dcterms:modified>
</cp:coreProperties>
</file>