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tmollick\Desktop\Final Dataset\Final Dataset for analysis\"/>
    </mc:Choice>
  </mc:AlternateContent>
  <xr:revisionPtr revIDLastSave="0" documentId="13_ncr:1_{D605BD58-DE39-4313-9512-800B1D2827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E101" i="1"/>
  <c r="B101" i="1"/>
  <c r="I100" i="1"/>
  <c r="E100" i="1"/>
  <c r="B100" i="1"/>
  <c r="I99" i="1"/>
  <c r="E99" i="1"/>
  <c r="B99" i="1"/>
  <c r="I98" i="1"/>
  <c r="E98" i="1"/>
  <c r="B98" i="1"/>
  <c r="I97" i="1"/>
  <c r="E97" i="1"/>
  <c r="B97" i="1"/>
  <c r="I96" i="1"/>
  <c r="E96" i="1"/>
  <c r="B96" i="1"/>
  <c r="I95" i="1"/>
  <c r="E95" i="1"/>
  <c r="B95" i="1"/>
  <c r="I94" i="1"/>
  <c r="E94" i="1"/>
  <c r="B94" i="1"/>
  <c r="I93" i="1"/>
  <c r="E93" i="1"/>
  <c r="B93" i="1"/>
  <c r="I92" i="1"/>
  <c r="E92" i="1"/>
  <c r="B92" i="1"/>
  <c r="I91" i="1"/>
  <c r="E91" i="1"/>
  <c r="B91" i="1"/>
  <c r="I90" i="1"/>
  <c r="E90" i="1"/>
  <c r="B90" i="1"/>
  <c r="I89" i="1"/>
  <c r="E89" i="1"/>
  <c r="B89" i="1"/>
  <c r="I88" i="1"/>
  <c r="E88" i="1"/>
  <c r="B88" i="1"/>
  <c r="I87" i="1"/>
  <c r="E87" i="1"/>
  <c r="B87" i="1"/>
  <c r="I86" i="1"/>
  <c r="E86" i="1"/>
  <c r="B86" i="1"/>
  <c r="I85" i="1"/>
  <c r="E85" i="1"/>
  <c r="B85" i="1"/>
  <c r="I84" i="1"/>
  <c r="E84" i="1"/>
  <c r="B84" i="1"/>
  <c r="I83" i="1"/>
  <c r="E83" i="1"/>
  <c r="B83" i="1"/>
  <c r="I82" i="1"/>
  <c r="E82" i="1"/>
  <c r="B82" i="1"/>
  <c r="I81" i="1"/>
  <c r="E81" i="1"/>
  <c r="B81" i="1"/>
  <c r="I80" i="1"/>
  <c r="E80" i="1"/>
  <c r="B80" i="1"/>
  <c r="I79" i="1"/>
  <c r="E79" i="1"/>
  <c r="B79" i="1"/>
  <c r="I78" i="1"/>
  <c r="E78" i="1"/>
  <c r="B78" i="1"/>
  <c r="I77" i="1"/>
  <c r="E77" i="1"/>
  <c r="B77" i="1"/>
  <c r="I76" i="1"/>
  <c r="E76" i="1"/>
  <c r="B76" i="1"/>
  <c r="I75" i="1"/>
  <c r="E75" i="1"/>
  <c r="B75" i="1"/>
  <c r="I74" i="1"/>
  <c r="E74" i="1"/>
  <c r="B74" i="1"/>
  <c r="I73" i="1"/>
  <c r="E73" i="1"/>
  <c r="B73" i="1"/>
  <c r="I72" i="1"/>
  <c r="E72" i="1"/>
  <c r="B72" i="1"/>
  <c r="I71" i="1"/>
  <c r="E71" i="1"/>
  <c r="B71" i="1"/>
  <c r="I70" i="1"/>
  <c r="E70" i="1"/>
  <c r="B70" i="1"/>
  <c r="I69" i="1"/>
  <c r="E69" i="1"/>
  <c r="B69" i="1"/>
  <c r="I68" i="1"/>
  <c r="E68" i="1"/>
  <c r="B68" i="1"/>
  <c r="I67" i="1"/>
  <c r="E67" i="1"/>
  <c r="B67" i="1"/>
  <c r="I66" i="1"/>
  <c r="E66" i="1"/>
  <c r="B66" i="1"/>
  <c r="I65" i="1"/>
  <c r="E65" i="1"/>
  <c r="B65" i="1"/>
  <c r="I64" i="1"/>
  <c r="E64" i="1"/>
  <c r="B64" i="1"/>
  <c r="I63" i="1"/>
  <c r="E63" i="1"/>
  <c r="B63" i="1"/>
  <c r="I62" i="1"/>
  <c r="E62" i="1"/>
  <c r="B62" i="1"/>
  <c r="I61" i="1"/>
  <c r="E61" i="1"/>
  <c r="B61" i="1"/>
  <c r="I60" i="1"/>
  <c r="E60" i="1"/>
  <c r="B60" i="1"/>
  <c r="I59" i="1"/>
  <c r="E59" i="1"/>
  <c r="B59" i="1"/>
  <c r="I58" i="1"/>
  <c r="E58" i="1"/>
  <c r="B58" i="1"/>
  <c r="I57" i="1"/>
  <c r="E57" i="1"/>
  <c r="B57" i="1"/>
  <c r="I56" i="1"/>
  <c r="E56" i="1"/>
  <c r="B56" i="1"/>
  <c r="I55" i="1"/>
  <c r="E55" i="1"/>
  <c r="B55" i="1"/>
  <c r="I54" i="1"/>
  <c r="E54" i="1"/>
  <c r="B54" i="1"/>
  <c r="I53" i="1"/>
  <c r="E53" i="1"/>
  <c r="B53" i="1"/>
  <c r="I52" i="1"/>
  <c r="E52" i="1"/>
  <c r="B52" i="1"/>
  <c r="I51" i="1"/>
  <c r="E51" i="1"/>
  <c r="B51" i="1"/>
  <c r="I50" i="1"/>
  <c r="E50" i="1"/>
  <c r="B50" i="1"/>
  <c r="I49" i="1"/>
  <c r="E49" i="1"/>
  <c r="B49" i="1"/>
  <c r="I48" i="1"/>
  <c r="E48" i="1"/>
  <c r="B48" i="1"/>
  <c r="I47" i="1"/>
  <c r="E47" i="1"/>
  <c r="B47" i="1"/>
  <c r="I46" i="1"/>
  <c r="E46" i="1"/>
  <c r="B46" i="1"/>
  <c r="I45" i="1"/>
  <c r="E45" i="1"/>
  <c r="B45" i="1"/>
  <c r="I44" i="1"/>
  <c r="E44" i="1"/>
  <c r="B44" i="1"/>
  <c r="I43" i="1"/>
  <c r="E43" i="1"/>
  <c r="B43" i="1"/>
  <c r="I42" i="1"/>
  <c r="E42" i="1"/>
  <c r="B42" i="1"/>
  <c r="I41" i="1"/>
  <c r="E41" i="1"/>
  <c r="B41" i="1"/>
  <c r="I40" i="1"/>
  <c r="E40" i="1"/>
  <c r="B40" i="1"/>
  <c r="I39" i="1"/>
  <c r="E39" i="1"/>
  <c r="B39" i="1"/>
  <c r="I38" i="1"/>
  <c r="E38" i="1"/>
  <c r="B38" i="1"/>
  <c r="I37" i="1"/>
  <c r="E37" i="1"/>
  <c r="B37" i="1"/>
  <c r="I36" i="1"/>
  <c r="E36" i="1"/>
  <c r="B36" i="1"/>
  <c r="I35" i="1"/>
  <c r="E35" i="1"/>
  <c r="B35" i="1"/>
  <c r="I34" i="1"/>
  <c r="E34" i="1"/>
  <c r="B34" i="1"/>
  <c r="I33" i="1"/>
  <c r="E33" i="1"/>
  <c r="B33" i="1"/>
  <c r="I32" i="1"/>
  <c r="E32" i="1"/>
  <c r="B32" i="1"/>
  <c r="I31" i="1"/>
  <c r="E31" i="1"/>
  <c r="B31" i="1"/>
  <c r="I30" i="1"/>
  <c r="E30" i="1"/>
  <c r="B30" i="1"/>
  <c r="I29" i="1"/>
  <c r="E29" i="1"/>
  <c r="B29" i="1"/>
  <c r="I28" i="1"/>
  <c r="E28" i="1"/>
  <c r="B28" i="1"/>
  <c r="I27" i="1"/>
  <c r="E27" i="1"/>
  <c r="B27" i="1"/>
  <c r="I26" i="1"/>
  <c r="E26" i="1"/>
  <c r="B26" i="1"/>
  <c r="I25" i="1"/>
  <c r="E25" i="1"/>
  <c r="B25" i="1"/>
  <c r="I24" i="1"/>
  <c r="E24" i="1"/>
  <c r="B24" i="1"/>
  <c r="I23" i="1"/>
  <c r="E23" i="1"/>
  <c r="B23" i="1"/>
  <c r="I22" i="1"/>
  <c r="E22" i="1"/>
  <c r="B22" i="1"/>
  <c r="I21" i="1"/>
  <c r="E21" i="1"/>
  <c r="B21" i="1"/>
  <c r="I20" i="1"/>
  <c r="E20" i="1"/>
  <c r="B20" i="1"/>
  <c r="I19" i="1"/>
  <c r="E19" i="1"/>
  <c r="B19" i="1"/>
  <c r="I18" i="1"/>
  <c r="E18" i="1"/>
  <c r="B18" i="1"/>
  <c r="I17" i="1"/>
  <c r="E17" i="1"/>
  <c r="B17" i="1"/>
  <c r="I16" i="1"/>
  <c r="E16" i="1"/>
  <c r="B16" i="1"/>
  <c r="I15" i="1"/>
  <c r="E15" i="1"/>
  <c r="B15" i="1"/>
  <c r="I14" i="1"/>
  <c r="E14" i="1"/>
  <c r="B14" i="1"/>
  <c r="I13" i="1"/>
  <c r="E13" i="1"/>
  <c r="B13" i="1"/>
  <c r="I12" i="1"/>
  <c r="E12" i="1"/>
  <c r="B12" i="1"/>
  <c r="I11" i="1"/>
  <c r="E11" i="1"/>
  <c r="B11" i="1"/>
  <c r="I10" i="1"/>
  <c r="E10" i="1"/>
  <c r="B10" i="1"/>
  <c r="I9" i="1"/>
  <c r="E9" i="1"/>
  <c r="B9" i="1"/>
  <c r="I8" i="1"/>
  <c r="E8" i="1"/>
  <c r="B8" i="1"/>
  <c r="I7" i="1"/>
  <c r="E7" i="1"/>
  <c r="B7" i="1"/>
  <c r="I6" i="1"/>
  <c r="E6" i="1"/>
  <c r="B6" i="1"/>
  <c r="I5" i="1"/>
  <c r="E5" i="1"/>
  <c r="B5" i="1"/>
  <c r="I4" i="1"/>
  <c r="E4" i="1"/>
  <c r="B4" i="1"/>
  <c r="I3" i="1"/>
  <c r="E3" i="1"/>
  <c r="B3" i="1"/>
  <c r="I2" i="1"/>
  <c r="E2" i="1"/>
  <c r="B2" i="1"/>
</calcChain>
</file>

<file path=xl/sharedStrings.xml><?xml version="1.0" encoding="utf-8"?>
<sst xmlns="http://schemas.openxmlformats.org/spreadsheetml/2006/main" count="625" uniqueCount="69">
  <si>
    <t>S.L.</t>
  </si>
  <si>
    <t>imaplink</t>
  </si>
  <si>
    <t>presenceId</t>
  </si>
  <si>
    <t>presentSpeciesId</t>
  </si>
  <si>
    <t>iMapPhoto</t>
  </si>
  <si>
    <t>imap_sci</t>
  </si>
  <si>
    <t>imap_com</t>
  </si>
  <si>
    <t>imap_record_taxon</t>
  </si>
  <si>
    <t>inatlink</t>
  </si>
  <si>
    <t>inat_sci</t>
  </si>
  <si>
    <t>inat_com</t>
  </si>
  <si>
    <t>inat_taxon</t>
  </si>
  <si>
    <t>geo_score</t>
  </si>
  <si>
    <t>com_score</t>
  </si>
  <si>
    <t>visual_model</t>
  </si>
  <si>
    <t>species_label</t>
  </si>
  <si>
    <t>com_status</t>
  </si>
  <si>
    <t>Lythrum salicaria</t>
  </si>
  <si>
    <t>Purple Loosestrife</t>
  </si>
  <si>
    <t>Purple loosestrife</t>
  </si>
  <si>
    <t>Leucanthemum vulgare</t>
  </si>
  <si>
    <t>Oxeye daisy</t>
  </si>
  <si>
    <t>Chamaenerion angustifolium</t>
  </si>
  <si>
    <t>Fireweed</t>
  </si>
  <si>
    <t>Buddleja davidii</t>
  </si>
  <si>
    <t>Butterfly bush</t>
  </si>
  <si>
    <t>Euthamia graminifolia</t>
  </si>
  <si>
    <t>Flat-topped goldenrod</t>
  </si>
  <si>
    <t>Daucus carota</t>
  </si>
  <si>
    <t>Wild carrot</t>
  </si>
  <si>
    <t>Spiraea tomentosa</t>
  </si>
  <si>
    <t>Steeplebush</t>
  </si>
  <si>
    <t>Typha angustifolia</t>
  </si>
  <si>
    <t>Narrow-leaved cattail</t>
  </si>
  <si>
    <t>Lycium barbarum</t>
  </si>
  <si>
    <t>Matrimony vine</t>
  </si>
  <si>
    <t>Rhus typhina</t>
  </si>
  <si>
    <t>Staghorn sumac</t>
  </si>
  <si>
    <t>Heraclides cresphontes</t>
  </si>
  <si>
    <t>Eastern giant swallowtail</t>
  </si>
  <si>
    <t>Decodon verticillatus</t>
  </si>
  <si>
    <t>Swamp loosestrife</t>
  </si>
  <si>
    <t>Phragmites australis</t>
  </si>
  <si>
    <t>Common reed</t>
  </si>
  <si>
    <t>Artemisia vulgaris</t>
  </si>
  <si>
    <t>Common mugwort</t>
  </si>
  <si>
    <t>Carrichtera annua</t>
  </si>
  <si>
    <t>Ward's weed</t>
  </si>
  <si>
    <t>Asclepias incarnata</t>
  </si>
  <si>
    <t>Swamp milkweed</t>
  </si>
  <si>
    <t>Verification</t>
  </si>
  <si>
    <t>Photo_quality</t>
  </si>
  <si>
    <t>Notes</t>
  </si>
  <si>
    <t>Both iMap and iNat correct</t>
  </si>
  <si>
    <t>Good photo</t>
  </si>
  <si>
    <t>iMap is only correct</t>
  </si>
  <si>
    <t>Undeterminable</t>
  </si>
  <si>
    <t>Bad-Focused Different Species</t>
  </si>
  <si>
    <t>Bad-Photo taken from long distance</t>
  </si>
  <si>
    <t>Bad-Multiple focused species</t>
  </si>
  <si>
    <t>Bad-Blur Photo</t>
  </si>
  <si>
    <t>Bad-limited contrast</t>
  </si>
  <si>
    <t>Bad-Dried Stems</t>
  </si>
  <si>
    <t>iNat is only correct</t>
  </si>
  <si>
    <t>The target species was not in focus</t>
  </si>
  <si>
    <t>Identified a butterfly setting on a purple loosestrife</t>
  </si>
  <si>
    <t>Difficult to find the target species</t>
  </si>
  <si>
    <t>Solidago rugosa</t>
  </si>
  <si>
    <t>Common wrinkle-leaved goldenrod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</si>
</sst>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workbookViewId="0">
      <selection activeCell="A2" sqref="A2:A101"/>
    </sheetView>
  </sheetViews>
  <sheetFormatPr defaultRowHeight="14.4" x14ac:dyDescent="0.3"/>
  <cols>
    <col min="18" max="18" width="10.6640625" bestFit="1" customWidth="1"/>
    <col min="19" max="19" width="12.886718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50</v>
      </c>
      <c r="S1" s="2" t="s">
        <v>51</v>
      </c>
      <c r="T1" s="2" t="s">
        <v>52</v>
      </c>
    </row>
    <row r="2" spans="1:20" x14ac:dyDescent="0.3">
      <c r="A2">
        <v>1</v>
      </c>
      <c r="B2" t="str">
        <f>HYPERLINK("https://imapinvasives.natureserve.org/imap/services/page/Presence/1280667.html", "View")</f>
        <v>View</v>
      </c>
      <c r="C2">
        <v>1280667</v>
      </c>
      <c r="D2">
        <v>1290058</v>
      </c>
      <c r="E2" t="str">
        <f>HYPERLINK("http://imap3images.s3-website-us-east-1.amazonaws.com/1290058/p/imap_app_photo_1656621501392.jpg", "View")</f>
        <v>View</v>
      </c>
      <c r="F2" t="s">
        <v>17</v>
      </c>
      <c r="G2" t="s">
        <v>18</v>
      </c>
      <c r="H2">
        <v>61321</v>
      </c>
      <c r="I2" t="str">
        <f>HYPERLINK("https://www.inaturalist.org/taxa/61321-Lythrum-salicaria", "View")</f>
        <v>View</v>
      </c>
      <c r="J2" t="s">
        <v>17</v>
      </c>
      <c r="K2" t="s">
        <v>19</v>
      </c>
      <c r="L2">
        <v>61321</v>
      </c>
      <c r="M2">
        <v>21.7</v>
      </c>
      <c r="N2">
        <v>73.89</v>
      </c>
      <c r="P2">
        <v>1</v>
      </c>
      <c r="R2" t="s">
        <v>53</v>
      </c>
      <c r="S2" t="s">
        <v>54</v>
      </c>
    </row>
    <row r="3" spans="1:20" x14ac:dyDescent="0.3">
      <c r="A3">
        <v>2</v>
      </c>
      <c r="B3" t="str">
        <f>HYPERLINK("https://imapinvasives.natureserve.org/imap/services/page/Presence/1026030.html", "View")</f>
        <v>View</v>
      </c>
      <c r="C3">
        <v>1026030</v>
      </c>
      <c r="D3">
        <v>1026988</v>
      </c>
      <c r="E3" t="str">
        <f>HYPERLINK("http://imap3images.s3-website-us-east-1.amazonaws.com/1026988/p/purple_loostrife_15A.jpg", "View")</f>
        <v>View</v>
      </c>
      <c r="F3" t="s">
        <v>17</v>
      </c>
      <c r="G3" t="s">
        <v>18</v>
      </c>
      <c r="H3">
        <v>61321</v>
      </c>
      <c r="I3" t="str">
        <f>HYPERLINK("https://www.inaturalist.org/taxa/56057-Leucanthemum-vulgare", "View")</f>
        <v>View</v>
      </c>
      <c r="J3" t="s">
        <v>20</v>
      </c>
      <c r="K3" t="s">
        <v>21</v>
      </c>
      <c r="L3">
        <v>56057</v>
      </c>
      <c r="M3">
        <v>23.24</v>
      </c>
      <c r="N3">
        <v>17.149999999999999</v>
      </c>
      <c r="P3">
        <v>0</v>
      </c>
      <c r="R3" t="s">
        <v>56</v>
      </c>
      <c r="S3" t="s">
        <v>57</v>
      </c>
    </row>
    <row r="4" spans="1:20" x14ac:dyDescent="0.3">
      <c r="A4">
        <v>3</v>
      </c>
      <c r="B4" t="str">
        <f>HYPERLINK("https://imapinvasives.natureserve.org/imap/services/page/Presence/1287392.html", "View")</f>
        <v>View</v>
      </c>
      <c r="C4">
        <v>1287392</v>
      </c>
      <c r="D4">
        <v>1297273</v>
      </c>
      <c r="E4" t="str">
        <f>HYPERLINK("http://imap3images.s3-website-us-east-1.amazonaws.com/1297273/p/imap_app_photo_1660751694899.jpg", "View")</f>
        <v>View</v>
      </c>
      <c r="F4" t="s">
        <v>17</v>
      </c>
      <c r="G4" t="s">
        <v>18</v>
      </c>
      <c r="H4">
        <v>61321</v>
      </c>
      <c r="I4" t="str">
        <f>HYPERLINK("https://www.inaturalist.org/taxa/61321-Lythrum-salicaria", "View")</f>
        <v>View</v>
      </c>
      <c r="J4" t="s">
        <v>17</v>
      </c>
      <c r="K4" t="s">
        <v>19</v>
      </c>
      <c r="L4">
        <v>61321</v>
      </c>
      <c r="M4">
        <v>22.41</v>
      </c>
      <c r="N4">
        <v>99.03</v>
      </c>
      <c r="P4">
        <v>1</v>
      </c>
      <c r="R4" t="s">
        <v>53</v>
      </c>
      <c r="S4" t="s">
        <v>54</v>
      </c>
    </row>
    <row r="5" spans="1:20" x14ac:dyDescent="0.3">
      <c r="A5">
        <v>4</v>
      </c>
      <c r="B5" t="str">
        <f>HYPERLINK("https://imapinvasives.natureserve.org/imap/services/page/Presence/418564.html", "View")</f>
        <v>View</v>
      </c>
      <c r="C5">
        <v>418564</v>
      </c>
      <c r="D5">
        <v>418564</v>
      </c>
      <c r="E5" t="str">
        <f>HYPERLINK("http://imap3images.s3-website-us-east-1.amazonaws.com/418564/p/photourl1_2014_08_05_katbauer_kuouj7zq.jpg", "View")</f>
        <v>View</v>
      </c>
      <c r="F5" t="s">
        <v>17</v>
      </c>
      <c r="G5" t="s">
        <v>18</v>
      </c>
      <c r="H5">
        <v>61321</v>
      </c>
      <c r="I5" t="str">
        <f>HYPERLINK("https://www.inaturalist.org/taxa/61321-Lythrum-salicaria", "View")</f>
        <v>View</v>
      </c>
      <c r="J5" t="s">
        <v>17</v>
      </c>
      <c r="K5" t="s">
        <v>19</v>
      </c>
      <c r="L5">
        <v>61321</v>
      </c>
      <c r="M5">
        <v>14.65</v>
      </c>
      <c r="N5">
        <v>97.36</v>
      </c>
      <c r="P5">
        <v>1</v>
      </c>
      <c r="R5" t="s">
        <v>53</v>
      </c>
      <c r="S5" t="s">
        <v>54</v>
      </c>
    </row>
    <row r="6" spans="1:20" x14ac:dyDescent="0.3">
      <c r="A6">
        <v>5</v>
      </c>
      <c r="B6" t="str">
        <f>HYPERLINK("https://imapinvasives.natureserve.org/imap/services/page/Presence/1286205.html", "View")</f>
        <v>View</v>
      </c>
      <c r="C6">
        <v>1286205</v>
      </c>
      <c r="D6">
        <v>1295928</v>
      </c>
      <c r="E6" t="str">
        <f>HYPERLINK("http://imap3images.s3-website-us-east-1.amazonaws.com/1295928/p/imap_app_photo_1660238825967.jpg", "View")</f>
        <v>View</v>
      </c>
      <c r="F6" t="s">
        <v>17</v>
      </c>
      <c r="G6" t="s">
        <v>18</v>
      </c>
      <c r="H6">
        <v>61321</v>
      </c>
      <c r="I6" t="str">
        <f>HYPERLINK("https://www.inaturalist.org/taxa/61321-Lythrum-salicaria", "View")</f>
        <v>View</v>
      </c>
      <c r="J6" t="s">
        <v>17</v>
      </c>
      <c r="K6" t="s">
        <v>19</v>
      </c>
      <c r="L6">
        <v>61321</v>
      </c>
      <c r="M6">
        <v>39.86</v>
      </c>
      <c r="N6">
        <v>99.83</v>
      </c>
      <c r="P6">
        <v>1</v>
      </c>
      <c r="R6" t="s">
        <v>53</v>
      </c>
      <c r="S6" t="s">
        <v>54</v>
      </c>
    </row>
    <row r="7" spans="1:20" x14ac:dyDescent="0.3">
      <c r="A7">
        <v>6</v>
      </c>
      <c r="B7" t="str">
        <f>HYPERLINK("https://imapinvasives.natureserve.org/imap/services/page/Presence/514019.html", "View")</f>
        <v>View</v>
      </c>
      <c r="C7">
        <v>514019</v>
      </c>
      <c r="D7">
        <v>514019</v>
      </c>
      <c r="E7" t="str">
        <f>HYPERLINK("http://imap3images.s3-website-us-east-1.amazonaws.com/514019/p/photourl1_2017_08_22_kevsanders_cvbfdi52.jpg", "View")</f>
        <v>View</v>
      </c>
      <c r="F7" t="s">
        <v>17</v>
      </c>
      <c r="G7" t="s">
        <v>18</v>
      </c>
      <c r="H7">
        <v>61321</v>
      </c>
      <c r="I7" t="str">
        <f>HYPERLINK("https://www.inaturalist.org/taxa/61321-Lythrum-salicaria", "View")</f>
        <v>View</v>
      </c>
      <c r="J7" t="s">
        <v>17</v>
      </c>
      <c r="K7" t="s">
        <v>19</v>
      </c>
      <c r="L7">
        <v>61321</v>
      </c>
      <c r="M7">
        <v>26.85</v>
      </c>
      <c r="N7">
        <v>99.54</v>
      </c>
      <c r="P7">
        <v>1</v>
      </c>
      <c r="R7" t="s">
        <v>53</v>
      </c>
      <c r="S7" t="s">
        <v>54</v>
      </c>
    </row>
    <row r="8" spans="1:20" x14ac:dyDescent="0.3">
      <c r="A8">
        <v>7</v>
      </c>
      <c r="B8" t="str">
        <f>HYPERLINK("https://imapinvasives.natureserve.org/imap/services/page/Presence/1289124.html", "View")</f>
        <v>View</v>
      </c>
      <c r="C8">
        <v>1289124</v>
      </c>
      <c r="D8">
        <v>1299219</v>
      </c>
      <c r="E8" t="str">
        <f>HYPERLINK("http://imap3images.s3-website-us-east-1.amazonaws.com/1299219/p/imap_app_photo_1661424986559.jpg", "View")</f>
        <v>View</v>
      </c>
      <c r="F8" t="s">
        <v>17</v>
      </c>
      <c r="G8" t="s">
        <v>18</v>
      </c>
      <c r="H8">
        <v>61321</v>
      </c>
      <c r="I8" t="str">
        <f>HYPERLINK("https://www.inaturalist.org/taxa/564969-Chamaenerion-angustifolium", "View")</f>
        <v>View</v>
      </c>
      <c r="J8" t="s">
        <v>22</v>
      </c>
      <c r="K8" t="s">
        <v>23</v>
      </c>
      <c r="L8">
        <v>564969</v>
      </c>
      <c r="M8">
        <v>3.93</v>
      </c>
      <c r="N8">
        <v>2.78</v>
      </c>
      <c r="P8">
        <v>0</v>
      </c>
      <c r="R8" t="s">
        <v>56</v>
      </c>
      <c r="S8" t="s">
        <v>57</v>
      </c>
    </row>
    <row r="9" spans="1:20" x14ac:dyDescent="0.3">
      <c r="A9">
        <v>8</v>
      </c>
      <c r="B9" t="str">
        <f>HYPERLINK("https://imapinvasives.natureserve.org/imap/services/page/Presence/334304.html", "View")</f>
        <v>View</v>
      </c>
      <c r="C9">
        <v>334304</v>
      </c>
      <c r="D9">
        <v>334304</v>
      </c>
      <c r="E9" t="str">
        <f>HYPERLINK("http://imap3images.s3-website-us-east-1.amazonaws.com/334304/p/photourl1_2012_05_30_rebhargrave_qxlmxa4o.jpg", "View")</f>
        <v>View</v>
      </c>
      <c r="F9" t="s">
        <v>17</v>
      </c>
      <c r="G9" t="s">
        <v>18</v>
      </c>
      <c r="H9">
        <v>61321</v>
      </c>
      <c r="I9" t="str">
        <f>HYPERLINK("https://www.inaturalist.org/taxa/75916-Buddleja-davidii", "View")</f>
        <v>View</v>
      </c>
      <c r="J9" t="s">
        <v>24</v>
      </c>
      <c r="K9" t="s">
        <v>25</v>
      </c>
      <c r="L9">
        <v>75916</v>
      </c>
      <c r="M9">
        <v>1.76</v>
      </c>
      <c r="N9">
        <v>51.06</v>
      </c>
      <c r="P9">
        <v>0</v>
      </c>
      <c r="R9" t="s">
        <v>55</v>
      </c>
      <c r="S9" t="s">
        <v>58</v>
      </c>
    </row>
    <row r="10" spans="1:20" x14ac:dyDescent="0.3">
      <c r="A10">
        <v>9</v>
      </c>
      <c r="B10" t="str">
        <f>HYPERLINK("https://imapinvasives.natureserve.org/imap/services/page/Presence/1157940.html", "View")</f>
        <v>View</v>
      </c>
      <c r="C10">
        <v>1157940</v>
      </c>
      <c r="D10">
        <v>1164995</v>
      </c>
      <c r="E10" t="str">
        <f>HYPERLINK("http://imap3images.s3-website-us-east-1.amazonaws.com/1164995/p/imap_app_photo_1628773105179.jpg", "View")</f>
        <v>View</v>
      </c>
      <c r="F10" t="s">
        <v>17</v>
      </c>
      <c r="G10" t="s">
        <v>18</v>
      </c>
      <c r="H10">
        <v>61321</v>
      </c>
      <c r="I10" t="str">
        <f>HYPERLINK("https://www.inaturalist.org/taxa/61321-Lythrum-salicaria", "View")</f>
        <v>View</v>
      </c>
      <c r="J10" t="s">
        <v>17</v>
      </c>
      <c r="K10" t="s">
        <v>19</v>
      </c>
      <c r="L10">
        <v>61321</v>
      </c>
      <c r="M10">
        <v>68.31</v>
      </c>
      <c r="N10">
        <v>97.76</v>
      </c>
      <c r="P10">
        <v>1</v>
      </c>
      <c r="R10" t="s">
        <v>53</v>
      </c>
      <c r="S10" t="s">
        <v>54</v>
      </c>
    </row>
    <row r="11" spans="1:20" x14ac:dyDescent="0.3">
      <c r="A11">
        <v>10</v>
      </c>
      <c r="B11" t="str">
        <f>HYPERLINK("https://imapinvasives.natureserve.org/imap/services/page/Presence/514665.html", "View")</f>
        <v>View</v>
      </c>
      <c r="C11">
        <v>514665</v>
      </c>
      <c r="D11">
        <v>514665</v>
      </c>
      <c r="E11" t="str">
        <f>HYPERLINK("http://imap3images.s3-website-us-east-1.amazonaws.com/514665/p/photourl1_2017_09_21_steyoung_3y70wr8p.jpg", "View")</f>
        <v>View</v>
      </c>
      <c r="F11" t="s">
        <v>17</v>
      </c>
      <c r="G11" t="s">
        <v>18</v>
      </c>
      <c r="H11">
        <v>61321</v>
      </c>
      <c r="I11" t="str">
        <f>HYPERLINK("https://www.inaturalist.org/taxa/564969-Chamaenerion-angustifolium", "View")</f>
        <v>View</v>
      </c>
      <c r="J11" t="s">
        <v>22</v>
      </c>
      <c r="K11" t="s">
        <v>23</v>
      </c>
      <c r="L11">
        <v>564969</v>
      </c>
      <c r="M11">
        <v>20.68</v>
      </c>
      <c r="N11">
        <v>20.239999999999998</v>
      </c>
      <c r="P11">
        <v>0</v>
      </c>
      <c r="R11" t="s">
        <v>55</v>
      </c>
      <c r="S11" t="s">
        <v>57</v>
      </c>
    </row>
    <row r="12" spans="1:20" x14ac:dyDescent="0.3">
      <c r="A12">
        <v>11</v>
      </c>
      <c r="B12" t="str">
        <f>HYPERLINK("https://imapinvasives.natureserve.org/imap/services/page/Presence/1069324.html", "View")</f>
        <v>View</v>
      </c>
      <c r="C12">
        <v>1069324</v>
      </c>
      <c r="D12">
        <v>1074182</v>
      </c>
      <c r="E12" t="str">
        <f>HYPERLINK("http://imap3images.s3-website-us-east-1.amazonaws.com/1074182/p/invasive_8.jpg", "View")</f>
        <v>View</v>
      </c>
      <c r="F12" t="s">
        <v>17</v>
      </c>
      <c r="G12" t="s">
        <v>18</v>
      </c>
      <c r="H12">
        <v>61321</v>
      </c>
      <c r="I12" t="str">
        <f>HYPERLINK("https://www.inaturalist.org/taxa/61321-Lythrum-salicaria", "View")</f>
        <v>View</v>
      </c>
      <c r="J12" t="s">
        <v>17</v>
      </c>
      <c r="K12" t="s">
        <v>19</v>
      </c>
      <c r="L12">
        <v>61321</v>
      </c>
      <c r="M12">
        <v>21.7</v>
      </c>
      <c r="N12">
        <v>61.2</v>
      </c>
      <c r="P12">
        <v>1</v>
      </c>
      <c r="R12" t="s">
        <v>53</v>
      </c>
      <c r="S12" t="s">
        <v>59</v>
      </c>
    </row>
    <row r="13" spans="1:20" x14ac:dyDescent="0.3">
      <c r="A13">
        <v>12</v>
      </c>
      <c r="B13" t="str">
        <f>HYPERLINK("https://imapinvasives.natureserve.org/imap/services/page/Presence/513964.html", "View")</f>
        <v>View</v>
      </c>
      <c r="C13">
        <v>513964</v>
      </c>
      <c r="D13">
        <v>513964</v>
      </c>
      <c r="E13" t="str">
        <f>HYPERLINK("http://imap3images.s3-website-us-east-1.amazonaws.com/513964/p/photourl1_2017_08_20_erncoon_hqcx3ut7.jpg", "View")</f>
        <v>View</v>
      </c>
      <c r="F13" t="s">
        <v>17</v>
      </c>
      <c r="G13" t="s">
        <v>18</v>
      </c>
      <c r="H13">
        <v>61321</v>
      </c>
      <c r="I13" t="str">
        <f>HYPERLINK("https://www.inaturalist.org/taxa/61321-Lythrum-salicaria", "View")</f>
        <v>View</v>
      </c>
      <c r="J13" t="s">
        <v>17</v>
      </c>
      <c r="K13" t="s">
        <v>19</v>
      </c>
      <c r="L13">
        <v>61321</v>
      </c>
      <c r="M13">
        <v>76.09</v>
      </c>
      <c r="N13">
        <v>98.84</v>
      </c>
      <c r="P13">
        <v>1</v>
      </c>
      <c r="R13" t="s">
        <v>53</v>
      </c>
      <c r="S13" t="s">
        <v>54</v>
      </c>
    </row>
    <row r="14" spans="1:20" x14ac:dyDescent="0.3">
      <c r="A14">
        <v>13</v>
      </c>
      <c r="B14" t="str">
        <f>HYPERLINK("https://imapinvasives.natureserve.org/imap/services/page/Presence/419982.html", "View")</f>
        <v>View</v>
      </c>
      <c r="C14">
        <v>419982</v>
      </c>
      <c r="D14">
        <v>419982</v>
      </c>
      <c r="E14" t="str">
        <f>HYPERLINK("http://imap3images.s3-website-us-east-1.amazonaws.com/419982/p/photourl2_2014_09_08_jerkrajna_s364fk03.jpg", "View")</f>
        <v>View</v>
      </c>
      <c r="F14" t="s">
        <v>17</v>
      </c>
      <c r="G14" t="s">
        <v>18</v>
      </c>
      <c r="H14">
        <v>61321</v>
      </c>
      <c r="I14" t="str">
        <f>HYPERLINK("https://www.inaturalist.org/taxa/61321-Lythrum-salicaria", "View")</f>
        <v>View</v>
      </c>
      <c r="J14" t="s">
        <v>17</v>
      </c>
      <c r="K14" t="s">
        <v>19</v>
      </c>
      <c r="L14">
        <v>61321</v>
      </c>
      <c r="M14">
        <v>44.82</v>
      </c>
      <c r="N14">
        <v>89.22</v>
      </c>
      <c r="P14">
        <v>1</v>
      </c>
      <c r="R14" t="s">
        <v>53</v>
      </c>
      <c r="S14" t="s">
        <v>60</v>
      </c>
    </row>
    <row r="15" spans="1:20" x14ac:dyDescent="0.3">
      <c r="A15">
        <v>14</v>
      </c>
      <c r="B15" t="str">
        <f>HYPERLINK("https://imapinvasives.natureserve.org/imap/services/page/Presence/528954.html", "View")</f>
        <v>View</v>
      </c>
      <c r="C15">
        <v>528954</v>
      </c>
      <c r="D15">
        <v>528954</v>
      </c>
      <c r="E15" t="str">
        <f>HYPERLINK("http://imap3images.s3-website-us-east-1.amazonaws.com/528954/p/photourl1_2018_07_04_steyoung_96oe7w6y.jpg", "View")</f>
        <v>View</v>
      </c>
      <c r="F15" t="s">
        <v>17</v>
      </c>
      <c r="G15" t="s">
        <v>18</v>
      </c>
      <c r="H15">
        <v>61321</v>
      </c>
      <c r="I15" t="str">
        <f>HYPERLINK("https://www.inaturalist.org/taxa/130989-Euthamia-graminifolia", "View")</f>
        <v>View</v>
      </c>
      <c r="J15" t="s">
        <v>26</v>
      </c>
      <c r="K15" t="s">
        <v>27</v>
      </c>
      <c r="L15">
        <v>130989</v>
      </c>
      <c r="M15">
        <v>20.6</v>
      </c>
      <c r="N15">
        <v>10.96</v>
      </c>
      <c r="P15">
        <v>0</v>
      </c>
      <c r="R15" t="s">
        <v>55</v>
      </c>
      <c r="S15" t="s">
        <v>61</v>
      </c>
    </row>
    <row r="16" spans="1:20" x14ac:dyDescent="0.3">
      <c r="A16">
        <v>15</v>
      </c>
      <c r="B16" t="str">
        <f>HYPERLINK("https://imapinvasives.natureserve.org/imap/services/page/Presence/494679.html", "View")</f>
        <v>View</v>
      </c>
      <c r="C16">
        <v>494679</v>
      </c>
      <c r="D16">
        <v>494679</v>
      </c>
      <c r="E16" t="str">
        <f>HYPERLINK("http://imap3images.s3-website-us-east-1.amazonaws.com/494679/p/photourl1_2016_08_24_aarbarrigar_1jgsittk.jpg", "View")</f>
        <v>View</v>
      </c>
      <c r="F16" t="s">
        <v>17</v>
      </c>
      <c r="G16" t="s">
        <v>18</v>
      </c>
      <c r="H16">
        <v>61321</v>
      </c>
      <c r="I16" t="str">
        <f>HYPERLINK("https://www.inaturalist.org/taxa/61321-Lythrum-salicaria", "View")</f>
        <v>View</v>
      </c>
      <c r="J16" t="s">
        <v>17</v>
      </c>
      <c r="K16" t="s">
        <v>19</v>
      </c>
      <c r="L16">
        <v>61321</v>
      </c>
      <c r="M16">
        <v>53.62</v>
      </c>
      <c r="N16">
        <v>95.42</v>
      </c>
      <c r="P16">
        <v>1</v>
      </c>
      <c r="R16" t="s">
        <v>53</v>
      </c>
      <c r="S16" t="s">
        <v>54</v>
      </c>
    </row>
    <row r="17" spans="1:20" x14ac:dyDescent="0.3">
      <c r="A17">
        <v>16</v>
      </c>
      <c r="B17" t="str">
        <f>HYPERLINK("https://imapinvasives.natureserve.org/imap/services/page/Presence/420281.html", "View")</f>
        <v>View</v>
      </c>
      <c r="C17">
        <v>420281</v>
      </c>
      <c r="D17">
        <v>420281</v>
      </c>
      <c r="E17" t="str">
        <f>HYPERLINK("http://imap3images.s3-website-us-east-1.amazonaws.com/420281/p/photourl2_2014_09_09_angklinczar_b59oobjx.jpg", "View")</f>
        <v>View</v>
      </c>
      <c r="F17" t="s">
        <v>17</v>
      </c>
      <c r="G17" t="s">
        <v>18</v>
      </c>
      <c r="H17">
        <v>61321</v>
      </c>
      <c r="I17" t="str">
        <f>HYPERLINK("https://www.inaturalist.org/taxa/61321-Lythrum-salicaria", "View")</f>
        <v>View</v>
      </c>
      <c r="J17" t="s">
        <v>17</v>
      </c>
      <c r="K17" t="s">
        <v>19</v>
      </c>
      <c r="L17">
        <v>61321</v>
      </c>
      <c r="M17">
        <v>49.73</v>
      </c>
      <c r="N17">
        <v>87.79</v>
      </c>
      <c r="P17">
        <v>1</v>
      </c>
      <c r="R17" t="s">
        <v>53</v>
      </c>
      <c r="S17" t="s">
        <v>54</v>
      </c>
    </row>
    <row r="18" spans="1:20" x14ac:dyDescent="0.3">
      <c r="A18">
        <v>17</v>
      </c>
      <c r="B18" t="str">
        <f>HYPERLINK("https://imapinvasives.natureserve.org/imap/services/page/Presence/1019204.html", "View")</f>
        <v>View</v>
      </c>
      <c r="C18">
        <v>1019204</v>
      </c>
      <c r="D18">
        <v>1019727</v>
      </c>
      <c r="E18" t="str">
        <f>HYPERLINK("http://imap3images.s3-website-us-east-1.amazonaws.com/1019727/p/imap_app_photo_1562341390895.jpg", "View")</f>
        <v>View</v>
      </c>
      <c r="F18" t="s">
        <v>17</v>
      </c>
      <c r="G18" t="s">
        <v>18</v>
      </c>
      <c r="H18">
        <v>61321</v>
      </c>
      <c r="I18" t="str">
        <f>HYPERLINK("https://www.inaturalist.org/taxa/61321-Lythrum-salicaria", "View")</f>
        <v>View</v>
      </c>
      <c r="J18" t="s">
        <v>17</v>
      </c>
      <c r="K18" t="s">
        <v>19</v>
      </c>
      <c r="L18">
        <v>61321</v>
      </c>
      <c r="M18">
        <v>70.03</v>
      </c>
      <c r="N18">
        <v>69.64</v>
      </c>
      <c r="P18">
        <v>1</v>
      </c>
      <c r="R18" t="s">
        <v>53</v>
      </c>
      <c r="S18" t="s">
        <v>54</v>
      </c>
    </row>
    <row r="19" spans="1:20" x14ac:dyDescent="0.3">
      <c r="A19">
        <v>18</v>
      </c>
      <c r="B19" t="str">
        <f>HYPERLINK("https://imapinvasives.natureserve.org/imap/services/page/Presence/1348871.html", "View")</f>
        <v>View</v>
      </c>
      <c r="C19">
        <v>1348871</v>
      </c>
      <c r="D19">
        <v>1365639</v>
      </c>
      <c r="E19" t="str">
        <f>HYPERLINK("http://imap3images.s3-website-us-east-1.amazonaws.com/1365639/p/imap_app_photo_1692385855232.jpg", "View")</f>
        <v>View</v>
      </c>
      <c r="F19" t="s">
        <v>17</v>
      </c>
      <c r="G19" t="s">
        <v>18</v>
      </c>
      <c r="H19">
        <v>61321</v>
      </c>
      <c r="I19" t="str">
        <f>HYPERLINK("https://www.inaturalist.org/taxa/76610-Daucus-carota", "View")</f>
        <v>View</v>
      </c>
      <c r="J19" t="s">
        <v>28</v>
      </c>
      <c r="K19" t="s">
        <v>29</v>
      </c>
      <c r="L19">
        <v>76610</v>
      </c>
      <c r="M19">
        <v>20.27</v>
      </c>
      <c r="N19">
        <v>25.64</v>
      </c>
      <c r="P19">
        <v>0</v>
      </c>
      <c r="R19" t="s">
        <v>55</v>
      </c>
      <c r="S19" t="s">
        <v>57</v>
      </c>
    </row>
    <row r="20" spans="1:20" x14ac:dyDescent="0.3">
      <c r="A20">
        <v>19</v>
      </c>
      <c r="B20" t="str">
        <f>HYPERLINK("https://imapinvasives.natureserve.org/imap/services/page/Presence/1062996.html", "View")</f>
        <v>View</v>
      </c>
      <c r="C20">
        <v>1062996</v>
      </c>
      <c r="D20">
        <v>1067666</v>
      </c>
      <c r="E20" t="str">
        <f>HYPERLINK("http://imap3images.s3-website-us-east-1.amazonaws.com/1067666/p/imap_app_photo_1597424930128.jpg", "View")</f>
        <v>View</v>
      </c>
      <c r="F20" t="s">
        <v>17</v>
      </c>
      <c r="G20" t="s">
        <v>18</v>
      </c>
      <c r="H20">
        <v>61321</v>
      </c>
      <c r="I20" t="str">
        <f>HYPERLINK("https://www.inaturalist.org/taxa/61321-Lythrum-salicaria", "View")</f>
        <v>View</v>
      </c>
      <c r="J20" t="s">
        <v>17</v>
      </c>
      <c r="K20" t="s">
        <v>19</v>
      </c>
      <c r="L20">
        <v>61321</v>
      </c>
      <c r="M20">
        <v>24.59</v>
      </c>
      <c r="N20">
        <v>99.87</v>
      </c>
      <c r="P20">
        <v>1</v>
      </c>
      <c r="R20" t="s">
        <v>53</v>
      </c>
      <c r="S20" t="s">
        <v>54</v>
      </c>
    </row>
    <row r="21" spans="1:20" x14ac:dyDescent="0.3">
      <c r="A21">
        <v>20</v>
      </c>
      <c r="B21" t="str">
        <f>HYPERLINK("https://imapinvasives.natureserve.org/imap/services/page/Presence/1152888.html", "View")</f>
        <v>View</v>
      </c>
      <c r="C21">
        <v>1152888</v>
      </c>
      <c r="D21">
        <v>1159837</v>
      </c>
      <c r="E21" t="str">
        <f>HYPERLINK("http://imap3images.s3-website-us-east-1.amazonaws.com/1159837/p/imap_app_photo_1627400516378.jpg", "View")</f>
        <v>View</v>
      </c>
      <c r="F21" t="s">
        <v>17</v>
      </c>
      <c r="G21" t="s">
        <v>18</v>
      </c>
      <c r="H21">
        <v>61321</v>
      </c>
      <c r="I21" t="str">
        <f>HYPERLINK("https://www.inaturalist.org/taxa/61321-Lythrum-salicaria", "View")</f>
        <v>View</v>
      </c>
      <c r="J21" t="s">
        <v>17</v>
      </c>
      <c r="K21" t="s">
        <v>19</v>
      </c>
      <c r="L21">
        <v>61321</v>
      </c>
      <c r="M21">
        <v>46.38</v>
      </c>
      <c r="N21">
        <v>85.8</v>
      </c>
      <c r="P21">
        <v>1</v>
      </c>
      <c r="R21" t="s">
        <v>53</v>
      </c>
      <c r="S21" t="s">
        <v>54</v>
      </c>
    </row>
    <row r="22" spans="1:20" x14ac:dyDescent="0.3">
      <c r="A22">
        <v>21</v>
      </c>
      <c r="B22" t="str">
        <f>HYPERLINK("https://imapinvasives.natureserve.org/imap/services/page/Presence/334285.html", "View")</f>
        <v>View</v>
      </c>
      <c r="C22">
        <v>334285</v>
      </c>
      <c r="D22">
        <v>334285</v>
      </c>
      <c r="E22" t="str">
        <f>HYPERLINK("http://imap3images.s3-website-us-east-1.amazonaws.com/334285/p/photourl1_2012_08_09_mikdurant_1norbtrk.jpg", "View")</f>
        <v>View</v>
      </c>
      <c r="F22" t="s">
        <v>17</v>
      </c>
      <c r="G22" t="s">
        <v>18</v>
      </c>
      <c r="H22">
        <v>61321</v>
      </c>
      <c r="I22" t="str">
        <f>HYPERLINK("https://www.inaturalist.org/taxa/61321-Lythrum-salicaria", "View")</f>
        <v>View</v>
      </c>
      <c r="J22" t="s">
        <v>17</v>
      </c>
      <c r="K22" t="s">
        <v>19</v>
      </c>
      <c r="L22">
        <v>61321</v>
      </c>
      <c r="M22">
        <v>26.1</v>
      </c>
      <c r="N22">
        <v>99.66</v>
      </c>
      <c r="P22">
        <v>1</v>
      </c>
      <c r="R22" t="s">
        <v>53</v>
      </c>
      <c r="S22" t="s">
        <v>54</v>
      </c>
    </row>
    <row r="23" spans="1:20" x14ac:dyDescent="0.3">
      <c r="A23">
        <v>22</v>
      </c>
      <c r="B23" t="str">
        <f>HYPERLINK("https://imapinvasives.natureserve.org/imap/services/page/Presence/1151922.html", "View")</f>
        <v>View</v>
      </c>
      <c r="C23">
        <v>1151922</v>
      </c>
      <c r="D23">
        <v>1158824</v>
      </c>
      <c r="E23" t="str">
        <f>HYPERLINK("http://imap3images.s3-website-us-east-1.amazonaws.com/1158824/p/imap_app_photo_1626812982891.jpg", "View")</f>
        <v>View</v>
      </c>
      <c r="F23" t="s">
        <v>17</v>
      </c>
      <c r="G23" t="s">
        <v>18</v>
      </c>
      <c r="H23">
        <v>61321</v>
      </c>
      <c r="I23" t="str">
        <f>HYPERLINK("https://www.inaturalist.org/taxa/61321-Lythrum-salicaria", "View")</f>
        <v>View</v>
      </c>
      <c r="J23" t="s">
        <v>17</v>
      </c>
      <c r="K23" t="s">
        <v>19</v>
      </c>
      <c r="L23">
        <v>61321</v>
      </c>
      <c r="M23">
        <v>23.06</v>
      </c>
      <c r="N23">
        <v>99.42</v>
      </c>
      <c r="P23">
        <v>1</v>
      </c>
      <c r="R23" t="s">
        <v>53</v>
      </c>
      <c r="S23" t="s">
        <v>54</v>
      </c>
    </row>
    <row r="24" spans="1:20" x14ac:dyDescent="0.3">
      <c r="A24">
        <v>23</v>
      </c>
      <c r="B24" t="str">
        <f>HYPERLINK("https://imapinvasives.natureserve.org/imap/services/page/Presence/1327343.html", "View")</f>
        <v>View</v>
      </c>
      <c r="C24">
        <v>1327343</v>
      </c>
      <c r="D24">
        <v>1340292</v>
      </c>
      <c r="E24" t="str">
        <f>HYPERLINK("http://imap3images.s3-website-us-east-1.amazonaws.com/1340292/p/imap_app_photo_1683046959407.jpg", "View")</f>
        <v>View</v>
      </c>
      <c r="F24" t="s">
        <v>17</v>
      </c>
      <c r="G24" t="s">
        <v>18</v>
      </c>
      <c r="H24">
        <v>61321</v>
      </c>
      <c r="I24" t="str">
        <f>HYPERLINK("https://www.inaturalist.org/taxa/48682-Spiraea-tomentosa", "View")</f>
        <v>View</v>
      </c>
      <c r="J24" t="s">
        <v>30</v>
      </c>
      <c r="K24" t="s">
        <v>31</v>
      </c>
      <c r="L24">
        <v>48682</v>
      </c>
      <c r="M24">
        <v>11.91</v>
      </c>
      <c r="N24">
        <v>51.5</v>
      </c>
      <c r="P24">
        <v>0</v>
      </c>
      <c r="R24" t="s">
        <v>55</v>
      </c>
      <c r="S24" t="s">
        <v>62</v>
      </c>
    </row>
    <row r="25" spans="1:20" x14ac:dyDescent="0.3">
      <c r="A25">
        <v>24</v>
      </c>
      <c r="B25" t="str">
        <f>HYPERLINK("https://imapinvasives.natureserve.org/imap/services/page/Presence/1287158.html", "View")</f>
        <v>View</v>
      </c>
      <c r="C25">
        <v>1287158</v>
      </c>
      <c r="D25">
        <v>1296978</v>
      </c>
      <c r="E25" t="str">
        <f>HYPERLINK("http://imap3images.s3-website-us-east-1.amazonaws.com/1296978/p/imap_app_photo_1660663339675.jpg", "View")</f>
        <v>View</v>
      </c>
      <c r="F25" t="s">
        <v>17</v>
      </c>
      <c r="G25" t="s">
        <v>18</v>
      </c>
      <c r="H25">
        <v>61321</v>
      </c>
      <c r="I25" t="str">
        <f>HYPERLINK("https://www.inaturalist.org/taxa/60316-Typha-angustifolia", "View")</f>
        <v>View</v>
      </c>
      <c r="J25" t="s">
        <v>32</v>
      </c>
      <c r="K25" t="s">
        <v>33</v>
      </c>
      <c r="L25">
        <v>60316</v>
      </c>
      <c r="M25">
        <v>10.34</v>
      </c>
      <c r="N25">
        <v>57.94</v>
      </c>
      <c r="P25">
        <v>0</v>
      </c>
      <c r="R25" t="s">
        <v>55</v>
      </c>
      <c r="S25" t="s">
        <v>57</v>
      </c>
    </row>
    <row r="26" spans="1:20" x14ac:dyDescent="0.3">
      <c r="A26">
        <v>25</v>
      </c>
      <c r="B26" t="str">
        <f>HYPERLINK("https://imapinvasives.natureserve.org/imap/services/page/Presence/1069216.html", "View")</f>
        <v>View</v>
      </c>
      <c r="C26">
        <v>1069216</v>
      </c>
      <c r="D26">
        <v>1074074</v>
      </c>
      <c r="E26" t="str">
        <f>HYPERLINK("http://imap3images.s3-website-us-east-1.amazonaws.com/1074074/p/imap_app_photo_1600205061720.jpg", "View")</f>
        <v>View</v>
      </c>
      <c r="F26" t="s">
        <v>17</v>
      </c>
      <c r="G26" t="s">
        <v>18</v>
      </c>
      <c r="H26">
        <v>61321</v>
      </c>
      <c r="I26" t="str">
        <f>HYPERLINK("https://www.inaturalist.org/taxa/61321-Lythrum-salicaria", "View")</f>
        <v>View</v>
      </c>
      <c r="J26" t="s">
        <v>17</v>
      </c>
      <c r="K26" t="s">
        <v>19</v>
      </c>
      <c r="L26">
        <v>61321</v>
      </c>
      <c r="M26">
        <v>32.47</v>
      </c>
      <c r="N26">
        <v>77.88</v>
      </c>
      <c r="P26">
        <v>1</v>
      </c>
      <c r="R26" t="s">
        <v>53</v>
      </c>
      <c r="S26" t="s">
        <v>54</v>
      </c>
    </row>
    <row r="27" spans="1:20" x14ac:dyDescent="0.3">
      <c r="A27">
        <v>26</v>
      </c>
      <c r="B27" t="str">
        <f>HYPERLINK("https://imapinvasives.natureserve.org/imap/services/page/Presence/532448.html", "View")</f>
        <v>View</v>
      </c>
      <c r="C27">
        <v>532448</v>
      </c>
      <c r="D27">
        <v>532448</v>
      </c>
      <c r="E27" t="str">
        <f>HYPERLINK("http://imap3images.s3-website-us-east-1.amazonaws.com/532448/p/photourl1_2018_11_01_lukgervase_yifl0rdu.jpg", "View")</f>
        <v>View</v>
      </c>
      <c r="F27" t="s">
        <v>17</v>
      </c>
      <c r="G27" t="s">
        <v>18</v>
      </c>
      <c r="H27">
        <v>61321</v>
      </c>
      <c r="I27" t="str">
        <f>HYPERLINK("https://www.inaturalist.org/taxa/77902-Lycium-barbarum", "View")</f>
        <v>View</v>
      </c>
      <c r="J27" t="s">
        <v>34</v>
      </c>
      <c r="K27" t="s">
        <v>35</v>
      </c>
      <c r="L27">
        <v>77902</v>
      </c>
      <c r="M27">
        <v>12.74</v>
      </c>
      <c r="N27">
        <v>22.16</v>
      </c>
      <c r="P27">
        <v>0</v>
      </c>
      <c r="R27" t="s">
        <v>55</v>
      </c>
      <c r="S27" t="s">
        <v>58</v>
      </c>
    </row>
    <row r="28" spans="1:20" x14ac:dyDescent="0.3">
      <c r="A28">
        <v>27</v>
      </c>
      <c r="B28" t="str">
        <f>HYPERLINK("https://imapinvasives.natureserve.org/imap/services/page/Presence/419280.html", "View")</f>
        <v>View</v>
      </c>
      <c r="C28">
        <v>419280</v>
      </c>
      <c r="D28">
        <v>419280</v>
      </c>
      <c r="E28" t="str">
        <f>HYPERLINK("http://imap3images.s3-website-us-east-1.amazonaws.com/419280/p/photourl1_2014_08_22_jerkrajna_iw61cizt.jpg", "View")</f>
        <v>View</v>
      </c>
      <c r="F28" t="s">
        <v>17</v>
      </c>
      <c r="G28" t="s">
        <v>18</v>
      </c>
      <c r="H28">
        <v>61321</v>
      </c>
      <c r="I28" t="str">
        <f>HYPERLINK("https://www.inaturalist.org/taxa/61321-Lythrum-salicaria", "View")</f>
        <v>View</v>
      </c>
      <c r="J28" t="s">
        <v>17</v>
      </c>
      <c r="K28" t="s">
        <v>19</v>
      </c>
      <c r="L28">
        <v>61321</v>
      </c>
      <c r="M28">
        <v>51.59</v>
      </c>
      <c r="N28">
        <v>96.15</v>
      </c>
      <c r="P28">
        <v>1</v>
      </c>
      <c r="R28" t="s">
        <v>53</v>
      </c>
      <c r="S28" t="s">
        <v>54</v>
      </c>
    </row>
    <row r="29" spans="1:20" x14ac:dyDescent="0.3">
      <c r="A29">
        <v>28</v>
      </c>
      <c r="B29" t="str">
        <f>HYPERLINK("https://imapinvasives.natureserve.org/imap/services/page/Presence/1349033.html", "View")</f>
        <v>View</v>
      </c>
      <c r="C29">
        <v>1349033</v>
      </c>
      <c r="D29">
        <v>1365804</v>
      </c>
      <c r="E29" t="str">
        <f>HYPERLINK("http://imap3images.s3-website-us-east-1.amazonaws.com/1365804/p/imap_app_photo_1692560670484.jpg", "View")</f>
        <v>View</v>
      </c>
      <c r="F29" t="s">
        <v>17</v>
      </c>
      <c r="G29" t="s">
        <v>18</v>
      </c>
      <c r="H29">
        <v>61321</v>
      </c>
      <c r="I29" t="str">
        <f>HYPERLINK("https://www.inaturalist.org/taxa/61321-Lythrum-salicaria", "View")</f>
        <v>View</v>
      </c>
      <c r="J29" t="s">
        <v>17</v>
      </c>
      <c r="K29" t="s">
        <v>19</v>
      </c>
      <c r="L29">
        <v>61321</v>
      </c>
      <c r="M29">
        <v>37.86</v>
      </c>
      <c r="N29">
        <v>99.73</v>
      </c>
      <c r="P29">
        <v>1</v>
      </c>
      <c r="R29" t="s">
        <v>53</v>
      </c>
      <c r="S29" t="s">
        <v>54</v>
      </c>
    </row>
    <row r="30" spans="1:20" x14ac:dyDescent="0.3">
      <c r="A30">
        <v>29</v>
      </c>
      <c r="B30" t="str">
        <f>HYPERLINK("https://imapinvasives.natureserve.org/imap/services/page/Presence/1288179.html", "View")</f>
        <v>View</v>
      </c>
      <c r="C30">
        <v>1288179</v>
      </c>
      <c r="D30">
        <v>1298130</v>
      </c>
      <c r="E30" t="str">
        <f>HYPERLINK("http://imap3images.s3-website-us-east-1.amazonaws.com/1298130/p/imap_app_photo_1660896802575.jpg", "View")</f>
        <v>View</v>
      </c>
      <c r="F30" t="s">
        <v>17</v>
      </c>
      <c r="G30" t="s">
        <v>18</v>
      </c>
      <c r="H30">
        <v>61321</v>
      </c>
      <c r="I30" t="str">
        <f>HYPERLINK("https://www.inaturalist.org/taxa/167829-Rhus-typhina", "View")</f>
        <v>View</v>
      </c>
      <c r="J30" t="s">
        <v>36</v>
      </c>
      <c r="K30" t="s">
        <v>37</v>
      </c>
      <c r="L30">
        <v>167829</v>
      </c>
      <c r="M30">
        <v>40.380000000000003</v>
      </c>
      <c r="N30">
        <v>82.72</v>
      </c>
      <c r="P30">
        <v>0</v>
      </c>
      <c r="R30" t="s">
        <v>63</v>
      </c>
      <c r="S30" t="s">
        <v>61</v>
      </c>
      <c r="T30" t="s">
        <v>64</v>
      </c>
    </row>
    <row r="31" spans="1:20" x14ac:dyDescent="0.3">
      <c r="A31">
        <v>30</v>
      </c>
      <c r="B31" t="str">
        <f>HYPERLINK("https://imapinvasives.natureserve.org/imap/services/page/Presence/1153185.html", "View")</f>
        <v>View</v>
      </c>
      <c r="C31">
        <v>1153185</v>
      </c>
      <c r="D31">
        <v>1160144</v>
      </c>
      <c r="E31" t="str">
        <f>HYPERLINK("http://imap3images.s3-website-us-east-1.amazonaws.com/1160144/p/imap_app_photo_1627586958649.jpg", "View")</f>
        <v>View</v>
      </c>
      <c r="F31" t="s">
        <v>17</v>
      </c>
      <c r="G31" t="s">
        <v>18</v>
      </c>
      <c r="H31">
        <v>61321</v>
      </c>
      <c r="I31" t="str">
        <f>HYPERLINK("https://www.inaturalist.org/taxa/76610-Daucus-carota", "View")</f>
        <v>View</v>
      </c>
      <c r="J31" t="s">
        <v>28</v>
      </c>
      <c r="K31" t="s">
        <v>29</v>
      </c>
      <c r="L31">
        <v>76610</v>
      </c>
      <c r="M31">
        <v>48.62</v>
      </c>
      <c r="N31">
        <v>22.72</v>
      </c>
      <c r="P31">
        <v>0</v>
      </c>
      <c r="R31" t="s">
        <v>63</v>
      </c>
      <c r="S31" t="s">
        <v>57</v>
      </c>
      <c r="T31" t="s">
        <v>64</v>
      </c>
    </row>
    <row r="32" spans="1:20" x14ac:dyDescent="0.3">
      <c r="A32">
        <v>31</v>
      </c>
      <c r="B32" t="str">
        <f>HYPERLINK("https://imapinvasives.natureserve.org/imap/services/page/Presence/1287466.html", "View")</f>
        <v>View</v>
      </c>
      <c r="C32">
        <v>1287466</v>
      </c>
      <c r="D32">
        <v>1297348</v>
      </c>
      <c r="E32" t="str">
        <f>HYPERLINK("http://imap3images.s3-website-us-east-1.amazonaws.com/1297348/p/P1160696.JPG", "View")</f>
        <v>View</v>
      </c>
      <c r="F32" t="s">
        <v>17</v>
      </c>
      <c r="G32" t="s">
        <v>18</v>
      </c>
      <c r="H32">
        <v>61321</v>
      </c>
      <c r="I32" t="str">
        <f>HYPERLINK("https://www.inaturalist.org/taxa/61321-Lythrum-salicaria", "View")</f>
        <v>View</v>
      </c>
      <c r="J32" t="s">
        <v>17</v>
      </c>
      <c r="K32" t="s">
        <v>19</v>
      </c>
      <c r="L32">
        <v>61321</v>
      </c>
      <c r="M32">
        <v>76.09</v>
      </c>
      <c r="N32">
        <v>99.1</v>
      </c>
      <c r="P32">
        <v>1</v>
      </c>
      <c r="R32" t="s">
        <v>53</v>
      </c>
      <c r="S32" t="s">
        <v>54</v>
      </c>
    </row>
    <row r="33" spans="1:20" x14ac:dyDescent="0.3">
      <c r="A33">
        <v>32</v>
      </c>
      <c r="B33" t="str">
        <f>HYPERLINK("https://imapinvasives.natureserve.org/imap/services/page/Presence/494052.html", "View")</f>
        <v>View</v>
      </c>
      <c r="C33">
        <v>494052</v>
      </c>
      <c r="D33">
        <v>494052</v>
      </c>
      <c r="E33" t="str">
        <f>HYPERLINK("http://imap3images.s3-website-us-east-1.amazonaws.com/494052/p/photourl1_2016_07_31_laugailor_y6gyvlak.jpg", "View")</f>
        <v>View</v>
      </c>
      <c r="F33" t="s">
        <v>17</v>
      </c>
      <c r="G33" t="s">
        <v>18</v>
      </c>
      <c r="H33">
        <v>61321</v>
      </c>
      <c r="I33" t="str">
        <f>HYPERLINK("https://www.inaturalist.org/taxa/61321-Lythrum-salicaria", "View")</f>
        <v>View</v>
      </c>
      <c r="J33" t="s">
        <v>17</v>
      </c>
      <c r="K33" t="s">
        <v>19</v>
      </c>
      <c r="L33">
        <v>61321</v>
      </c>
      <c r="M33">
        <v>49.73</v>
      </c>
      <c r="N33">
        <v>99.76</v>
      </c>
      <c r="P33">
        <v>1</v>
      </c>
      <c r="R33" t="s">
        <v>53</v>
      </c>
      <c r="S33" t="s">
        <v>54</v>
      </c>
    </row>
    <row r="34" spans="1:20" x14ac:dyDescent="0.3">
      <c r="A34">
        <v>33</v>
      </c>
      <c r="B34" t="str">
        <f>HYPERLINK("https://imapinvasives.natureserve.org/imap/services/page/Presence/334260.html", "View")</f>
        <v>View</v>
      </c>
      <c r="C34">
        <v>334260</v>
      </c>
      <c r="D34">
        <v>334260</v>
      </c>
      <c r="E34" t="str">
        <f>HYPERLINK("http://imap3images.s3-website-us-east-1.amazonaws.com/334260/p/photourl1_2012_09_14_krigilbert_7aecc4os.jpg", "View")</f>
        <v>View</v>
      </c>
      <c r="F34" t="s">
        <v>17</v>
      </c>
      <c r="G34" t="s">
        <v>18</v>
      </c>
      <c r="H34">
        <v>61321</v>
      </c>
      <c r="I34" t="str">
        <f t="shared" ref="I34:I39" si="0">HYPERLINK("https://www.inaturalist.org/taxa/61321-Lythrum-salicaria", "View")</f>
        <v>View</v>
      </c>
      <c r="J34" t="s">
        <v>17</v>
      </c>
      <c r="K34" t="s">
        <v>19</v>
      </c>
      <c r="L34">
        <v>61321</v>
      </c>
      <c r="M34">
        <v>13.43</v>
      </c>
      <c r="N34">
        <v>48.42</v>
      </c>
      <c r="P34">
        <v>1</v>
      </c>
      <c r="R34" t="s">
        <v>53</v>
      </c>
      <c r="S34" t="s">
        <v>58</v>
      </c>
    </row>
    <row r="35" spans="1:20" x14ac:dyDescent="0.3">
      <c r="A35">
        <v>34</v>
      </c>
      <c r="B35" t="str">
        <f>HYPERLINK("https://imapinvasives.natureserve.org/imap/services/page/Presence/527412.html", "View")</f>
        <v>View</v>
      </c>
      <c r="C35">
        <v>527412</v>
      </c>
      <c r="D35">
        <v>527412</v>
      </c>
      <c r="E35" t="str">
        <f>HYPERLINK("http://imap3images.s3-website-us-east-1.amazonaws.com/527412/p/photourl1_2018_06_20_steyoung_tuhpd7ux.jpg", "View")</f>
        <v>View</v>
      </c>
      <c r="F35" t="s">
        <v>17</v>
      </c>
      <c r="G35" t="s">
        <v>18</v>
      </c>
      <c r="H35">
        <v>61321</v>
      </c>
      <c r="I35" t="str">
        <f t="shared" si="0"/>
        <v>View</v>
      </c>
      <c r="J35" t="s">
        <v>17</v>
      </c>
      <c r="K35" t="s">
        <v>19</v>
      </c>
      <c r="L35">
        <v>61321</v>
      </c>
      <c r="M35">
        <v>61.37</v>
      </c>
      <c r="N35">
        <v>19.190000000000001</v>
      </c>
      <c r="P35">
        <v>1</v>
      </c>
      <c r="R35" t="s">
        <v>53</v>
      </c>
      <c r="S35" t="s">
        <v>54</v>
      </c>
    </row>
    <row r="36" spans="1:20" x14ac:dyDescent="0.3">
      <c r="A36">
        <v>35</v>
      </c>
      <c r="B36" t="str">
        <f>HYPERLINK("https://imapinvasives.natureserve.org/imap/services/page/Presence/1159305.html", "View")</f>
        <v>View</v>
      </c>
      <c r="C36">
        <v>1159305</v>
      </c>
      <c r="D36">
        <v>1166387</v>
      </c>
      <c r="E36" t="str">
        <f>HYPERLINK("http://imap3images.s3-website-us-east-1.amazonaws.com/1166387/p/imap_app_photo_1629383980120.jpg", "View")</f>
        <v>View</v>
      </c>
      <c r="F36" t="s">
        <v>17</v>
      </c>
      <c r="G36" t="s">
        <v>18</v>
      </c>
      <c r="H36">
        <v>61321</v>
      </c>
      <c r="I36" t="str">
        <f t="shared" si="0"/>
        <v>View</v>
      </c>
      <c r="J36" t="s">
        <v>17</v>
      </c>
      <c r="K36" t="s">
        <v>19</v>
      </c>
      <c r="L36">
        <v>61321</v>
      </c>
      <c r="M36">
        <v>64.349999999999994</v>
      </c>
      <c r="N36">
        <v>99.97</v>
      </c>
      <c r="P36">
        <v>1</v>
      </c>
      <c r="R36" t="s">
        <v>53</v>
      </c>
      <c r="S36" t="s">
        <v>54</v>
      </c>
    </row>
    <row r="37" spans="1:20" x14ac:dyDescent="0.3">
      <c r="A37">
        <v>36</v>
      </c>
      <c r="B37" t="str">
        <f>HYPERLINK("https://imapinvasives.natureserve.org/imap/services/page/Presence/449171.html", "View")</f>
        <v>View</v>
      </c>
      <c r="C37">
        <v>449171</v>
      </c>
      <c r="D37">
        <v>449171</v>
      </c>
      <c r="E37" t="str">
        <f>HYPERLINK("http://imap3images.s3-website-us-east-1.amazonaws.com/449171/p/photourl1_2015_08_05_megwilkinson_8cb58i2l.jpg", "View")</f>
        <v>View</v>
      </c>
      <c r="F37" t="s">
        <v>17</v>
      </c>
      <c r="G37" t="s">
        <v>18</v>
      </c>
      <c r="H37">
        <v>61321</v>
      </c>
      <c r="I37" t="str">
        <f t="shared" si="0"/>
        <v>View</v>
      </c>
      <c r="J37" t="s">
        <v>17</v>
      </c>
      <c r="K37" t="s">
        <v>19</v>
      </c>
      <c r="L37">
        <v>61321</v>
      </c>
      <c r="M37">
        <v>64.349999999999994</v>
      </c>
      <c r="N37">
        <v>63.12</v>
      </c>
      <c r="P37">
        <v>1</v>
      </c>
      <c r="R37" t="s">
        <v>53</v>
      </c>
      <c r="S37" t="s">
        <v>61</v>
      </c>
    </row>
    <row r="38" spans="1:20" x14ac:dyDescent="0.3">
      <c r="A38">
        <v>37</v>
      </c>
      <c r="B38" t="str">
        <f>HYPERLINK("https://imapinvasives.natureserve.org/imap/services/page/Presence/1068860.html", "View")</f>
        <v>View</v>
      </c>
      <c r="C38">
        <v>1068860</v>
      </c>
      <c r="D38">
        <v>1073703</v>
      </c>
      <c r="E38" t="str">
        <f>HYPERLINK("http://imap3images.s3-website-us-east-1.amazonaws.com/1073703/p/imap_app_photo_1599935150501.jpg", "View")</f>
        <v>View</v>
      </c>
      <c r="F38" t="s">
        <v>17</v>
      </c>
      <c r="G38" t="s">
        <v>18</v>
      </c>
      <c r="H38">
        <v>61321</v>
      </c>
      <c r="I38" t="str">
        <f t="shared" si="0"/>
        <v>View</v>
      </c>
      <c r="J38" t="s">
        <v>17</v>
      </c>
      <c r="K38" t="s">
        <v>19</v>
      </c>
      <c r="L38">
        <v>61321</v>
      </c>
      <c r="M38">
        <v>32.47</v>
      </c>
      <c r="N38">
        <v>99.95</v>
      </c>
      <c r="P38">
        <v>1</v>
      </c>
      <c r="R38" t="s">
        <v>53</v>
      </c>
      <c r="S38" t="s">
        <v>54</v>
      </c>
    </row>
    <row r="39" spans="1:20" x14ac:dyDescent="0.3">
      <c r="A39">
        <v>38</v>
      </c>
      <c r="B39" t="str">
        <f>HYPERLINK("https://imapinvasives.natureserve.org/imap/services/page/Presence/1285438.html", "View")</f>
        <v>View</v>
      </c>
      <c r="C39">
        <v>1285438</v>
      </c>
      <c r="D39">
        <v>1295074</v>
      </c>
      <c r="E39" t="str">
        <f>HYPERLINK("http://imap3images.s3-website-us-east-1.amazonaws.com/1295074/p/imap_app_photo_1659823948392.jpg", "View")</f>
        <v>View</v>
      </c>
      <c r="F39" t="s">
        <v>17</v>
      </c>
      <c r="G39" t="s">
        <v>18</v>
      </c>
      <c r="H39">
        <v>61321</v>
      </c>
      <c r="I39" t="str">
        <f t="shared" si="0"/>
        <v>View</v>
      </c>
      <c r="J39" t="s">
        <v>17</v>
      </c>
      <c r="K39" t="s">
        <v>19</v>
      </c>
      <c r="L39">
        <v>61321</v>
      </c>
      <c r="M39">
        <v>21</v>
      </c>
      <c r="N39">
        <v>99.49</v>
      </c>
      <c r="P39">
        <v>1</v>
      </c>
      <c r="R39" t="s">
        <v>53</v>
      </c>
      <c r="S39" t="s">
        <v>54</v>
      </c>
    </row>
    <row r="40" spans="1:20" x14ac:dyDescent="0.3">
      <c r="A40">
        <v>39</v>
      </c>
      <c r="B40" t="str">
        <f>HYPERLINK("https://imapinvasives.natureserve.org/imap/services/page/Presence/1283595.html", "View")</f>
        <v>View</v>
      </c>
      <c r="C40">
        <v>1283595</v>
      </c>
      <c r="D40">
        <v>1293102</v>
      </c>
      <c r="E40" t="str">
        <f>HYPERLINK("http://imap3images.s3-website-us-east-1.amazonaws.com/1293102/p/imap_app_photo_1658699100633.jpg", "View")</f>
        <v>View</v>
      </c>
      <c r="F40" t="s">
        <v>17</v>
      </c>
      <c r="G40" t="s">
        <v>18</v>
      </c>
      <c r="H40">
        <v>61321</v>
      </c>
      <c r="I40" t="str">
        <f>HYPERLINK("https://www.inaturalist.org/taxa/85024-Heraclides-cresphontes", "View")</f>
        <v>View</v>
      </c>
      <c r="J40" t="s">
        <v>38</v>
      </c>
      <c r="K40" t="s">
        <v>39</v>
      </c>
      <c r="L40">
        <v>85024</v>
      </c>
      <c r="M40">
        <v>17.84</v>
      </c>
      <c r="N40">
        <v>53.32</v>
      </c>
      <c r="P40">
        <v>0</v>
      </c>
      <c r="R40" t="s">
        <v>55</v>
      </c>
      <c r="S40" t="s">
        <v>57</v>
      </c>
      <c r="T40" t="s">
        <v>65</v>
      </c>
    </row>
    <row r="41" spans="1:20" x14ac:dyDescent="0.3">
      <c r="A41">
        <v>40</v>
      </c>
      <c r="B41" t="str">
        <f>HYPERLINK("https://imapinvasives.natureserve.org/imap/services/page/Presence/1409553.html", "View")</f>
        <v>View</v>
      </c>
      <c r="C41">
        <v>1409553</v>
      </c>
      <c r="D41">
        <v>1421994</v>
      </c>
      <c r="E41" t="str">
        <f>HYPERLINK("http://imap3images.s3-website-us-east-1.amazonaws.com/1421994/p/Photo_1.jpg", "View")</f>
        <v>View</v>
      </c>
      <c r="F41" t="s">
        <v>17</v>
      </c>
      <c r="G41" t="s">
        <v>18</v>
      </c>
      <c r="H41">
        <v>61321</v>
      </c>
      <c r="I41" t="str">
        <f>HYPERLINK("https://www.inaturalist.org/taxa/83456-Decodon-verticillatus", "View")</f>
        <v>View</v>
      </c>
      <c r="J41" t="s">
        <v>40</v>
      </c>
      <c r="K41" t="s">
        <v>41</v>
      </c>
      <c r="L41">
        <v>83456</v>
      </c>
      <c r="M41">
        <v>6.58</v>
      </c>
      <c r="N41">
        <v>4.84</v>
      </c>
      <c r="P41">
        <v>0</v>
      </c>
      <c r="R41" t="s">
        <v>56</v>
      </c>
      <c r="S41" t="s">
        <v>57</v>
      </c>
      <c r="T41" t="s">
        <v>66</v>
      </c>
    </row>
    <row r="42" spans="1:20" x14ac:dyDescent="0.3">
      <c r="A42">
        <v>41</v>
      </c>
      <c r="B42" t="str">
        <f>HYPERLINK("https://imapinvasives.natureserve.org/imap/services/page/Presence/1348221.html", "View")</f>
        <v>View</v>
      </c>
      <c r="C42">
        <v>1348221</v>
      </c>
      <c r="D42">
        <v>1364930</v>
      </c>
      <c r="E42" t="str">
        <f>HYPERLINK("http://imap3images.s3-website-us-east-1.amazonaws.com/1364930/p/Photo1-20230814-082356.jpg", "View")</f>
        <v>View</v>
      </c>
      <c r="F42" t="s">
        <v>17</v>
      </c>
      <c r="G42" t="s">
        <v>18</v>
      </c>
      <c r="H42">
        <v>61321</v>
      </c>
      <c r="I42" t="str">
        <f>HYPERLINK("https://www.inaturalist.org/taxa/61321-Lythrum-salicaria", "View")</f>
        <v>View</v>
      </c>
      <c r="J42" t="s">
        <v>17</v>
      </c>
      <c r="K42" t="s">
        <v>19</v>
      </c>
      <c r="L42">
        <v>61321</v>
      </c>
      <c r="M42">
        <v>16.91</v>
      </c>
      <c r="N42">
        <v>99.58</v>
      </c>
      <c r="P42">
        <v>1</v>
      </c>
      <c r="R42" t="s">
        <v>53</v>
      </c>
      <c r="S42" t="s">
        <v>54</v>
      </c>
    </row>
    <row r="43" spans="1:20" x14ac:dyDescent="0.3">
      <c r="A43">
        <v>42</v>
      </c>
      <c r="B43" t="str">
        <f>HYPERLINK("https://imapinvasives.natureserve.org/imap/services/page/Presence/1290699.html", "View")</f>
        <v>View</v>
      </c>
      <c r="C43">
        <v>1290699</v>
      </c>
      <c r="D43">
        <v>1300888</v>
      </c>
      <c r="E43" t="str">
        <f>HYPERLINK("http://imap3images.s3-website-us-east-1.amazonaws.com/1300888/p/Photo_1.jpg", "View")</f>
        <v>View</v>
      </c>
      <c r="F43" t="s">
        <v>17</v>
      </c>
      <c r="G43" t="s">
        <v>18</v>
      </c>
      <c r="H43">
        <v>61321</v>
      </c>
      <c r="I43" t="str">
        <f>HYPERLINK("https://www.inaturalist.org/taxa/64237-Phragmites-australis", "View")</f>
        <v>View</v>
      </c>
      <c r="J43" t="s">
        <v>42</v>
      </c>
      <c r="K43" t="s">
        <v>43</v>
      </c>
      <c r="L43">
        <v>64237</v>
      </c>
      <c r="M43">
        <v>85.75</v>
      </c>
      <c r="N43">
        <v>4.45</v>
      </c>
      <c r="P43">
        <v>0</v>
      </c>
      <c r="R43" t="s">
        <v>56</v>
      </c>
      <c r="S43" t="s">
        <v>61</v>
      </c>
      <c r="T43" t="s">
        <v>66</v>
      </c>
    </row>
    <row r="44" spans="1:20" x14ac:dyDescent="0.3">
      <c r="A44">
        <v>43</v>
      </c>
      <c r="B44" t="str">
        <f>HYPERLINK("https://imapinvasives.natureserve.org/imap/services/page/Presence/513972.html", "View")</f>
        <v>View</v>
      </c>
      <c r="C44">
        <v>513972</v>
      </c>
      <c r="D44">
        <v>513972</v>
      </c>
      <c r="E44" t="str">
        <f>HYPERLINK("http://imap3images.s3-website-us-east-1.amazonaws.com/513972/p/photourl1_2017_08_20_micrider_tw5x9bze.jpg", "View")</f>
        <v>View</v>
      </c>
      <c r="F44" t="s">
        <v>17</v>
      </c>
      <c r="G44" t="s">
        <v>18</v>
      </c>
      <c r="H44">
        <v>61321</v>
      </c>
      <c r="I44" t="str">
        <f t="shared" ref="I44:I56" si="1">HYPERLINK("https://www.inaturalist.org/taxa/61321-Lythrum-salicaria", "View")</f>
        <v>View</v>
      </c>
      <c r="J44" t="s">
        <v>17</v>
      </c>
      <c r="K44" t="s">
        <v>19</v>
      </c>
      <c r="L44">
        <v>61321</v>
      </c>
      <c r="M44">
        <v>36</v>
      </c>
      <c r="N44">
        <v>96.11</v>
      </c>
      <c r="P44">
        <v>1</v>
      </c>
      <c r="R44" t="s">
        <v>53</v>
      </c>
      <c r="S44" t="s">
        <v>54</v>
      </c>
    </row>
    <row r="45" spans="1:20" x14ac:dyDescent="0.3">
      <c r="A45">
        <v>44</v>
      </c>
      <c r="B45" t="str">
        <f>HYPERLINK("https://imapinvasives.natureserve.org/imap/services/page/Presence/1157550.html", "View")</f>
        <v>View</v>
      </c>
      <c r="C45">
        <v>1157550</v>
      </c>
      <c r="D45">
        <v>1164596</v>
      </c>
      <c r="E45" t="str">
        <f>HYPERLINK("http://imap3images.s3-website-us-east-1.amazonaws.com/1164596/p/imap_app_photo_1628629936915.jpg", "View")</f>
        <v>View</v>
      </c>
      <c r="F45" t="s">
        <v>17</v>
      </c>
      <c r="G45" t="s">
        <v>18</v>
      </c>
      <c r="H45">
        <v>61321</v>
      </c>
      <c r="I45" t="str">
        <f t="shared" si="1"/>
        <v>View</v>
      </c>
      <c r="J45" t="s">
        <v>17</v>
      </c>
      <c r="K45" t="s">
        <v>19</v>
      </c>
      <c r="L45">
        <v>61321</v>
      </c>
      <c r="M45">
        <v>22.41</v>
      </c>
      <c r="N45">
        <v>99.51</v>
      </c>
      <c r="P45">
        <v>1</v>
      </c>
      <c r="R45" t="s">
        <v>53</v>
      </c>
      <c r="S45" t="s">
        <v>54</v>
      </c>
    </row>
    <row r="46" spans="1:20" x14ac:dyDescent="0.3">
      <c r="A46">
        <v>45</v>
      </c>
      <c r="B46" t="str">
        <f>HYPERLINK("https://imapinvasives.natureserve.org/imap/services/page/Presence/1286063.html", "View")</f>
        <v>View</v>
      </c>
      <c r="C46">
        <v>1286063</v>
      </c>
      <c r="D46">
        <v>1295786</v>
      </c>
      <c r="E46" t="str">
        <f>HYPERLINK("http://imap3images.s3-website-us-east-1.amazonaws.com/1295786/p/imap_app_photo_1660226571140.jpg", "View")</f>
        <v>View</v>
      </c>
      <c r="F46" t="s">
        <v>17</v>
      </c>
      <c r="G46" t="s">
        <v>18</v>
      </c>
      <c r="H46">
        <v>61321</v>
      </c>
      <c r="I46" t="str">
        <f t="shared" si="1"/>
        <v>View</v>
      </c>
      <c r="J46" t="s">
        <v>17</v>
      </c>
      <c r="K46" t="s">
        <v>19</v>
      </c>
      <c r="L46">
        <v>61321</v>
      </c>
      <c r="M46">
        <v>23</v>
      </c>
      <c r="N46">
        <v>99.23</v>
      </c>
      <c r="P46">
        <v>1</v>
      </c>
      <c r="R46" t="s">
        <v>53</v>
      </c>
      <c r="S46" t="s">
        <v>54</v>
      </c>
    </row>
    <row r="47" spans="1:20" x14ac:dyDescent="0.3">
      <c r="A47">
        <v>46</v>
      </c>
      <c r="B47" t="str">
        <f>HYPERLINK("https://imapinvasives.natureserve.org/imap/services/page/Presence/1286717.html", "View")</f>
        <v>View</v>
      </c>
      <c r="C47">
        <v>1286717</v>
      </c>
      <c r="D47">
        <v>1296481</v>
      </c>
      <c r="E47" t="str">
        <f>HYPERLINK("http://imap3images.s3-website-us-east-1.amazonaws.com/1296481/p/imap_app_photo_1660575111217.jpg", "View")</f>
        <v>View</v>
      </c>
      <c r="F47" t="s">
        <v>17</v>
      </c>
      <c r="G47" t="s">
        <v>18</v>
      </c>
      <c r="H47">
        <v>61321</v>
      </c>
      <c r="I47" t="str">
        <f t="shared" si="1"/>
        <v>View</v>
      </c>
      <c r="J47" t="s">
        <v>17</v>
      </c>
      <c r="K47" t="s">
        <v>19</v>
      </c>
      <c r="L47">
        <v>61321</v>
      </c>
      <c r="M47">
        <v>53.37</v>
      </c>
      <c r="N47">
        <v>91.79</v>
      </c>
      <c r="P47">
        <v>1</v>
      </c>
      <c r="R47" t="s">
        <v>53</v>
      </c>
      <c r="S47" t="s">
        <v>54</v>
      </c>
    </row>
    <row r="48" spans="1:20" x14ac:dyDescent="0.3">
      <c r="A48">
        <v>47</v>
      </c>
      <c r="B48" t="str">
        <f>HYPERLINK("https://imapinvasives.natureserve.org/imap/services/page/Presence/1030448.html", "View")</f>
        <v>View</v>
      </c>
      <c r="C48">
        <v>1030448</v>
      </c>
      <c r="D48">
        <v>1031867</v>
      </c>
      <c r="E48" t="str">
        <f>HYPERLINK("http://imap3images.s3-website-us-east-1.amazonaws.com/1031867/p/imap_app_photo_1567213525039.jpg", "View")</f>
        <v>View</v>
      </c>
      <c r="F48" t="s">
        <v>17</v>
      </c>
      <c r="G48" t="s">
        <v>18</v>
      </c>
      <c r="H48">
        <v>61321</v>
      </c>
      <c r="I48" t="str">
        <f t="shared" si="1"/>
        <v>View</v>
      </c>
      <c r="J48" t="s">
        <v>17</v>
      </c>
      <c r="K48" t="s">
        <v>19</v>
      </c>
      <c r="L48">
        <v>61321</v>
      </c>
      <c r="M48">
        <v>16.13</v>
      </c>
      <c r="N48">
        <v>95.55</v>
      </c>
      <c r="P48">
        <v>1</v>
      </c>
      <c r="R48" t="s">
        <v>53</v>
      </c>
      <c r="S48" t="s">
        <v>54</v>
      </c>
    </row>
    <row r="49" spans="1:19" x14ac:dyDescent="0.3">
      <c r="A49">
        <v>48</v>
      </c>
      <c r="B49" t="str">
        <f>HYPERLINK("https://imapinvasives.natureserve.org/imap/services/page/Presence/530824.html", "View")</f>
        <v>View</v>
      </c>
      <c r="C49">
        <v>530824</v>
      </c>
      <c r="D49">
        <v>530824</v>
      </c>
      <c r="E49" t="str">
        <f>HYPERLINK("http://imap3images.s3-website-us-east-1.amazonaws.com/530824/p/photourl1_2018_09_07_catpedler_g5zzhi4m.jpg", "View")</f>
        <v>View</v>
      </c>
      <c r="F49" t="s">
        <v>17</v>
      </c>
      <c r="G49" t="s">
        <v>18</v>
      </c>
      <c r="H49">
        <v>61321</v>
      </c>
      <c r="I49" t="str">
        <f t="shared" si="1"/>
        <v>View</v>
      </c>
      <c r="J49" t="s">
        <v>17</v>
      </c>
      <c r="K49" t="s">
        <v>19</v>
      </c>
      <c r="L49">
        <v>61321</v>
      </c>
      <c r="M49">
        <v>32.880000000000003</v>
      </c>
      <c r="N49">
        <v>98.75</v>
      </c>
      <c r="P49">
        <v>1</v>
      </c>
      <c r="R49" t="s">
        <v>53</v>
      </c>
      <c r="S49" t="s">
        <v>54</v>
      </c>
    </row>
    <row r="50" spans="1:19" x14ac:dyDescent="0.3">
      <c r="A50">
        <v>49</v>
      </c>
      <c r="B50" t="str">
        <f>HYPERLINK("https://imapinvasives.natureserve.org/imap/services/page/Presence/1355133.html", "View")</f>
        <v>View</v>
      </c>
      <c r="C50">
        <v>1355133</v>
      </c>
      <c r="D50">
        <v>1372765</v>
      </c>
      <c r="E50" t="str">
        <f>HYPERLINK("http://imap3images.s3-website-us-east-1.amazonaws.com/1372765/p/30BC4035-E90F-43E3-B8AB-1DF95F431B23.jpeg", "View")</f>
        <v>View</v>
      </c>
      <c r="F50" t="s">
        <v>17</v>
      </c>
      <c r="G50" t="s">
        <v>18</v>
      </c>
      <c r="H50">
        <v>61321</v>
      </c>
      <c r="I50" t="str">
        <f t="shared" si="1"/>
        <v>View</v>
      </c>
      <c r="J50" t="s">
        <v>17</v>
      </c>
      <c r="K50" t="s">
        <v>19</v>
      </c>
      <c r="L50">
        <v>61321</v>
      </c>
      <c r="M50">
        <v>51.29</v>
      </c>
      <c r="N50">
        <v>55.8</v>
      </c>
      <c r="P50">
        <v>1</v>
      </c>
      <c r="R50" t="s">
        <v>53</v>
      </c>
      <c r="S50" t="s">
        <v>54</v>
      </c>
    </row>
    <row r="51" spans="1:19" x14ac:dyDescent="0.3">
      <c r="A51">
        <v>50</v>
      </c>
      <c r="B51" t="str">
        <f>HYPERLINK("https://imapinvasives.natureserve.org/imap/services/page/Presence/1056952.html", "View")</f>
        <v>View</v>
      </c>
      <c r="C51">
        <v>1056952</v>
      </c>
      <c r="D51">
        <v>1061454</v>
      </c>
      <c r="E51" t="str">
        <f>HYPERLINK("http://imap3images.s3-website-us-east-1.amazonaws.com/1061454/p/imap_app_photo_1595180157884.jpg", "View")</f>
        <v>View</v>
      </c>
      <c r="F51" t="s">
        <v>17</v>
      </c>
      <c r="G51" t="s">
        <v>18</v>
      </c>
      <c r="H51">
        <v>61321</v>
      </c>
      <c r="I51" t="str">
        <f t="shared" si="1"/>
        <v>View</v>
      </c>
      <c r="J51" t="s">
        <v>17</v>
      </c>
      <c r="K51" t="s">
        <v>19</v>
      </c>
      <c r="L51">
        <v>61321</v>
      </c>
      <c r="M51">
        <v>76.5</v>
      </c>
      <c r="N51">
        <v>99.31</v>
      </c>
      <c r="P51">
        <v>1</v>
      </c>
      <c r="R51" t="s">
        <v>53</v>
      </c>
      <c r="S51" t="s">
        <v>54</v>
      </c>
    </row>
    <row r="52" spans="1:19" x14ac:dyDescent="0.3">
      <c r="A52">
        <v>51</v>
      </c>
      <c r="B52" t="str">
        <f>HYPERLINK("https://imapinvasives.natureserve.org/imap/services/page/Presence/494162.html", "View")</f>
        <v>View</v>
      </c>
      <c r="C52">
        <v>494162</v>
      </c>
      <c r="D52">
        <v>494162</v>
      </c>
      <c r="E52" t="str">
        <f>HYPERLINK("http://imap3images.s3-website-us-east-1.amazonaws.com/494162/p/photourl2_2016_08_05_iansansone_jtjln3bw.jpg", "View")</f>
        <v>View</v>
      </c>
      <c r="F52" t="s">
        <v>17</v>
      </c>
      <c r="G52" t="s">
        <v>18</v>
      </c>
      <c r="H52">
        <v>61321</v>
      </c>
      <c r="I52" t="str">
        <f t="shared" si="1"/>
        <v>View</v>
      </c>
      <c r="J52" t="s">
        <v>17</v>
      </c>
      <c r="K52" t="s">
        <v>19</v>
      </c>
      <c r="L52">
        <v>61321</v>
      </c>
      <c r="M52">
        <v>34.869999999999997</v>
      </c>
      <c r="N52">
        <v>96.09</v>
      </c>
      <c r="P52">
        <v>1</v>
      </c>
      <c r="R52" t="s">
        <v>53</v>
      </c>
      <c r="S52" t="s">
        <v>54</v>
      </c>
    </row>
    <row r="53" spans="1:19" x14ac:dyDescent="0.3">
      <c r="A53">
        <v>52</v>
      </c>
      <c r="B53" t="str">
        <f>HYPERLINK("https://imapinvasives.natureserve.org/imap/services/page/Presence/1286641.html", "View")</f>
        <v>View</v>
      </c>
      <c r="C53">
        <v>1286641</v>
      </c>
      <c r="D53">
        <v>1296404</v>
      </c>
      <c r="E53" t="str">
        <f>HYPERLINK("http://imap3images.s3-website-us-east-1.amazonaws.com/1296404/p/imap_app_photo_1660340737067.jpg", "View")</f>
        <v>View</v>
      </c>
      <c r="F53" t="s">
        <v>17</v>
      </c>
      <c r="G53" t="s">
        <v>18</v>
      </c>
      <c r="H53">
        <v>61321</v>
      </c>
      <c r="I53" t="str">
        <f t="shared" si="1"/>
        <v>View</v>
      </c>
      <c r="J53" t="s">
        <v>17</v>
      </c>
      <c r="K53" t="s">
        <v>19</v>
      </c>
      <c r="L53">
        <v>61321</v>
      </c>
      <c r="M53">
        <v>38.06</v>
      </c>
      <c r="N53">
        <v>87.62</v>
      </c>
      <c r="P53">
        <v>1</v>
      </c>
      <c r="R53" t="s">
        <v>53</v>
      </c>
      <c r="S53" t="s">
        <v>54</v>
      </c>
    </row>
    <row r="54" spans="1:19" x14ac:dyDescent="0.3">
      <c r="A54">
        <v>53</v>
      </c>
      <c r="B54" t="str">
        <f>HYPERLINK("https://imapinvasives.natureserve.org/imap/services/page/Presence/514106.html", "View")</f>
        <v>View</v>
      </c>
      <c r="C54">
        <v>514106</v>
      </c>
      <c r="D54">
        <v>514106</v>
      </c>
      <c r="E54" t="str">
        <f>HYPERLINK("http://imap3images.s3-website-us-east-1.amazonaws.com/514106/p/photourl2_2017_08_22_heazimba_nwoeenb1.jpg", "View")</f>
        <v>View</v>
      </c>
      <c r="F54" t="s">
        <v>17</v>
      </c>
      <c r="G54" t="s">
        <v>18</v>
      </c>
      <c r="H54">
        <v>61321</v>
      </c>
      <c r="I54" t="str">
        <f t="shared" si="1"/>
        <v>View</v>
      </c>
      <c r="J54" t="s">
        <v>17</v>
      </c>
      <c r="K54" t="s">
        <v>19</v>
      </c>
      <c r="L54">
        <v>61321</v>
      </c>
      <c r="M54">
        <v>26.85</v>
      </c>
      <c r="N54">
        <v>99.79</v>
      </c>
      <c r="P54">
        <v>1</v>
      </c>
      <c r="R54" t="s">
        <v>53</v>
      </c>
      <c r="S54" t="s">
        <v>54</v>
      </c>
    </row>
    <row r="55" spans="1:19" x14ac:dyDescent="0.3">
      <c r="A55">
        <v>54</v>
      </c>
      <c r="B55" t="str">
        <f>HYPERLINK("https://imapinvasives.natureserve.org/imap/services/page/Presence/1061098.html", "View")</f>
        <v>View</v>
      </c>
      <c r="C55">
        <v>1061098</v>
      </c>
      <c r="D55">
        <v>1065630</v>
      </c>
      <c r="E55" t="str">
        <f>HYPERLINK("http://imap3images.s3-website-us-east-1.amazonaws.com/1065630/p/imap_app_photo_1596212789103.jpg", "View")</f>
        <v>View</v>
      </c>
      <c r="F55" t="s">
        <v>17</v>
      </c>
      <c r="G55" t="s">
        <v>18</v>
      </c>
      <c r="H55">
        <v>61321</v>
      </c>
      <c r="I55" t="str">
        <f t="shared" si="1"/>
        <v>View</v>
      </c>
      <c r="J55" t="s">
        <v>17</v>
      </c>
      <c r="K55" t="s">
        <v>19</v>
      </c>
      <c r="L55">
        <v>61321</v>
      </c>
      <c r="M55">
        <v>53.96</v>
      </c>
      <c r="N55">
        <v>99.98</v>
      </c>
      <c r="P55">
        <v>1</v>
      </c>
      <c r="R55" t="s">
        <v>53</v>
      </c>
      <c r="S55" t="s">
        <v>54</v>
      </c>
    </row>
    <row r="56" spans="1:19" x14ac:dyDescent="0.3">
      <c r="A56">
        <v>55</v>
      </c>
      <c r="B56" t="str">
        <f>HYPERLINK("https://imapinvasives.natureserve.org/imap/services/page/Presence/1285960.html", "View")</f>
        <v>View</v>
      </c>
      <c r="C56">
        <v>1285960</v>
      </c>
      <c r="D56">
        <v>1295683</v>
      </c>
      <c r="E56" t="str">
        <f>HYPERLINK("http://imap3images.s3-website-us-east-1.amazonaws.com/1295683/p/IMG_20220810_125804.jpg", "View")</f>
        <v>View</v>
      </c>
      <c r="F56" t="s">
        <v>17</v>
      </c>
      <c r="G56" t="s">
        <v>18</v>
      </c>
      <c r="H56">
        <v>61321</v>
      </c>
      <c r="I56" t="str">
        <f t="shared" si="1"/>
        <v>View</v>
      </c>
      <c r="J56" t="s">
        <v>17</v>
      </c>
      <c r="K56" t="s">
        <v>19</v>
      </c>
      <c r="L56">
        <v>61321</v>
      </c>
      <c r="M56">
        <v>49.72</v>
      </c>
      <c r="N56">
        <v>98.47</v>
      </c>
      <c r="P56">
        <v>1</v>
      </c>
      <c r="R56" t="s">
        <v>53</v>
      </c>
      <c r="S56" t="s">
        <v>54</v>
      </c>
    </row>
    <row r="57" spans="1:19" x14ac:dyDescent="0.3">
      <c r="A57">
        <v>56</v>
      </c>
      <c r="B57" t="str">
        <f>HYPERLINK("https://imapinvasives.natureserve.org/imap/services/page/Presence/1153511.html", "View")</f>
        <v>View</v>
      </c>
      <c r="C57">
        <v>1153511</v>
      </c>
      <c r="D57">
        <v>1160490</v>
      </c>
      <c r="E57" t="str">
        <f>HYPERLINK("http://imap3images.s3-website-us-east-1.amazonaws.com/1160490/p/imap_app_photo_1627843807769.jpg", "View")</f>
        <v>View</v>
      </c>
      <c r="F57" t="s">
        <v>17</v>
      </c>
      <c r="G57" t="s">
        <v>18</v>
      </c>
      <c r="H57">
        <v>61321</v>
      </c>
      <c r="I57" t="str">
        <f>HYPERLINK("https://www.inaturalist.org/taxa/52856-Artemisia-vulgaris", "View")</f>
        <v>View</v>
      </c>
      <c r="J57" t="s">
        <v>44</v>
      </c>
      <c r="K57" t="s">
        <v>45</v>
      </c>
      <c r="L57">
        <v>52856</v>
      </c>
      <c r="M57">
        <v>22.94</v>
      </c>
      <c r="N57">
        <v>16.440000000000001</v>
      </c>
      <c r="P57">
        <v>0</v>
      </c>
      <c r="R57" t="s">
        <v>55</v>
      </c>
      <c r="S57" t="s">
        <v>61</v>
      </c>
    </row>
    <row r="58" spans="1:19" x14ac:dyDescent="0.3">
      <c r="A58">
        <v>57</v>
      </c>
      <c r="B58" t="str">
        <f>HYPERLINK("https://imapinvasives.natureserve.org/imap/services/page/Presence/529328.html", "View")</f>
        <v>View</v>
      </c>
      <c r="C58">
        <v>529328</v>
      </c>
      <c r="D58">
        <v>529328</v>
      </c>
      <c r="E58" t="str">
        <f>HYPERLINK("http://imap3images.s3-website-us-east-1.amazonaws.com/529328/p/photourl1_2018_07_27_scorichardson_gnxbsuns.jpg", "View")</f>
        <v>View</v>
      </c>
      <c r="F58" t="s">
        <v>17</v>
      </c>
      <c r="G58" t="s">
        <v>18</v>
      </c>
      <c r="H58">
        <v>61321</v>
      </c>
      <c r="I58" t="str">
        <f>HYPERLINK("https://www.inaturalist.org/taxa/61321-Lythrum-salicaria", "View")</f>
        <v>View</v>
      </c>
      <c r="J58" t="s">
        <v>17</v>
      </c>
      <c r="K58" t="s">
        <v>19</v>
      </c>
      <c r="L58">
        <v>61321</v>
      </c>
      <c r="M58">
        <v>46.38</v>
      </c>
      <c r="N58">
        <v>82.53</v>
      </c>
      <c r="P58">
        <v>1</v>
      </c>
      <c r="R58" t="s">
        <v>53</v>
      </c>
      <c r="S58" t="s">
        <v>54</v>
      </c>
    </row>
    <row r="59" spans="1:19" x14ac:dyDescent="0.3">
      <c r="A59">
        <v>58</v>
      </c>
      <c r="B59" t="str">
        <f>HYPERLINK("https://imapinvasives.natureserve.org/imap/services/page/Presence/419260.html", "View")</f>
        <v>View</v>
      </c>
      <c r="C59">
        <v>419260</v>
      </c>
      <c r="D59">
        <v>419260</v>
      </c>
      <c r="E59" t="str">
        <f>HYPERLINK("http://imap3images.s3-website-us-east-1.amazonaws.com/419260/p/photourl2_2014_08_22_andstadler_8gkhpb4n.jpg", "View")</f>
        <v>View</v>
      </c>
      <c r="F59" t="s">
        <v>17</v>
      </c>
      <c r="G59" t="s">
        <v>18</v>
      </c>
      <c r="H59">
        <v>61321</v>
      </c>
      <c r="I59" t="str">
        <f>HYPERLINK("https://www.inaturalist.org/taxa/61321-Lythrum-salicaria", "View")</f>
        <v>View</v>
      </c>
      <c r="J59" t="s">
        <v>17</v>
      </c>
      <c r="K59" t="s">
        <v>19</v>
      </c>
      <c r="L59">
        <v>61321</v>
      </c>
      <c r="M59">
        <v>50.17</v>
      </c>
      <c r="N59">
        <v>93.93</v>
      </c>
      <c r="P59">
        <v>1</v>
      </c>
      <c r="R59" t="s">
        <v>53</v>
      </c>
      <c r="S59" t="s">
        <v>54</v>
      </c>
    </row>
    <row r="60" spans="1:19" x14ac:dyDescent="0.3">
      <c r="A60">
        <v>59</v>
      </c>
      <c r="B60" t="str">
        <f>HYPERLINK("https://imapinvasives.natureserve.org/imap/services/page/Presence/1365198.html", "View")</f>
        <v>View</v>
      </c>
      <c r="C60">
        <v>1365198</v>
      </c>
      <c r="D60">
        <v>1383145</v>
      </c>
      <c r="E60" t="str">
        <f>HYPERLINK("http://imap3images.s3-website-us-east-1.amazonaws.com/1383145/p/rakeSpeciesImage-20230818-145845.jpg", "View")</f>
        <v>View</v>
      </c>
      <c r="F60" t="s">
        <v>17</v>
      </c>
      <c r="G60" t="s">
        <v>18</v>
      </c>
      <c r="H60">
        <v>61321</v>
      </c>
      <c r="I60" t="str">
        <f>HYPERLINK("https://www.inaturalist.org/taxa/61321-Lythrum-salicaria", "View")</f>
        <v>View</v>
      </c>
      <c r="J60" t="s">
        <v>17</v>
      </c>
      <c r="K60" t="s">
        <v>19</v>
      </c>
      <c r="L60">
        <v>61321</v>
      </c>
      <c r="M60">
        <v>75.77</v>
      </c>
      <c r="N60">
        <v>99.98</v>
      </c>
      <c r="P60">
        <v>1</v>
      </c>
      <c r="R60" t="s">
        <v>53</v>
      </c>
      <c r="S60" t="s">
        <v>54</v>
      </c>
    </row>
    <row r="61" spans="1:19" x14ac:dyDescent="0.3">
      <c r="A61">
        <v>60</v>
      </c>
      <c r="B61" t="str">
        <f>HYPERLINK("https://imapinvasives.natureserve.org/imap/services/page/Presence/1068768.html", "View")</f>
        <v>View</v>
      </c>
      <c r="C61">
        <v>1068768</v>
      </c>
      <c r="D61">
        <v>1073602</v>
      </c>
      <c r="E61" t="str">
        <f>HYPERLINK("http://imap3images.s3-website-us-east-1.amazonaws.com/1073602/p/imap_app_photo_1599853494703.jpg", "View")</f>
        <v>View</v>
      </c>
      <c r="F61" t="s">
        <v>17</v>
      </c>
      <c r="G61" t="s">
        <v>18</v>
      </c>
      <c r="H61">
        <v>61321</v>
      </c>
      <c r="I61" t="str">
        <f>HYPERLINK("https://www.inaturalist.org/taxa/61321-Lythrum-salicaria", "View")</f>
        <v>View</v>
      </c>
      <c r="J61" t="s">
        <v>17</v>
      </c>
      <c r="K61" t="s">
        <v>19</v>
      </c>
      <c r="L61">
        <v>61321</v>
      </c>
      <c r="M61">
        <v>21.7</v>
      </c>
      <c r="N61">
        <v>94.99</v>
      </c>
      <c r="P61">
        <v>1</v>
      </c>
      <c r="R61" t="s">
        <v>53</v>
      </c>
      <c r="S61" t="s">
        <v>54</v>
      </c>
    </row>
    <row r="62" spans="1:19" x14ac:dyDescent="0.3">
      <c r="A62">
        <v>61</v>
      </c>
      <c r="B62" t="str">
        <f>HYPERLINK("https://imapinvasives.natureserve.org/imap/services/page/Presence/525267.html", "View")</f>
        <v>View</v>
      </c>
      <c r="C62">
        <v>525267</v>
      </c>
      <c r="D62">
        <v>525267</v>
      </c>
      <c r="E62" t="str">
        <f>HYPERLINK("http://imap3images.s3-website-us-east-1.amazonaws.com/525267/p/photourl1_2018_04_24_spebarrett_tlvgwkf2.jpg", "View")</f>
        <v>View</v>
      </c>
      <c r="F62" t="s">
        <v>17</v>
      </c>
      <c r="G62" t="s">
        <v>18</v>
      </c>
      <c r="H62">
        <v>61321</v>
      </c>
      <c r="I62" t="str">
        <f>HYPERLINK("https://www.inaturalist.org/taxa/76132-Carrichtera-annua", "View")</f>
        <v>View</v>
      </c>
      <c r="J62" t="s">
        <v>46</v>
      </c>
      <c r="K62" t="s">
        <v>47</v>
      </c>
      <c r="L62">
        <v>76132</v>
      </c>
      <c r="M62">
        <v>0</v>
      </c>
      <c r="N62">
        <v>17.309999999999999</v>
      </c>
      <c r="P62">
        <v>0</v>
      </c>
      <c r="R62" t="s">
        <v>56</v>
      </c>
      <c r="S62" t="s">
        <v>62</v>
      </c>
    </row>
    <row r="63" spans="1:19" x14ac:dyDescent="0.3">
      <c r="A63">
        <v>62</v>
      </c>
      <c r="B63" t="str">
        <f>HYPERLINK("https://imapinvasives.natureserve.org/imap/services/page/Presence/449776.html", "View")</f>
        <v>View</v>
      </c>
      <c r="C63">
        <v>449776</v>
      </c>
      <c r="D63">
        <v>449776</v>
      </c>
      <c r="E63" t="str">
        <f>HYPERLINK("http://imap3images.s3-website-us-east-1.amazonaws.com/449776/p/photourl4_2015_08_27_nicpionteck_1q1f5f1u.jpg", "View")</f>
        <v>View</v>
      </c>
      <c r="F63" t="s">
        <v>17</v>
      </c>
      <c r="G63" t="s">
        <v>18</v>
      </c>
      <c r="H63">
        <v>61321</v>
      </c>
      <c r="I63" t="str">
        <f t="shared" ref="I63:I72" si="2">HYPERLINK("https://www.inaturalist.org/taxa/61321-Lythrum-salicaria", "View")</f>
        <v>View</v>
      </c>
      <c r="J63" t="s">
        <v>17</v>
      </c>
      <c r="K63" t="s">
        <v>19</v>
      </c>
      <c r="L63">
        <v>61321</v>
      </c>
      <c r="M63">
        <v>18.579999999999998</v>
      </c>
      <c r="N63">
        <v>99.65</v>
      </c>
      <c r="P63">
        <v>1</v>
      </c>
      <c r="R63" t="s">
        <v>53</v>
      </c>
      <c r="S63" t="s">
        <v>54</v>
      </c>
    </row>
    <row r="64" spans="1:19" x14ac:dyDescent="0.3">
      <c r="A64">
        <v>63</v>
      </c>
      <c r="B64" t="str">
        <f>HYPERLINK("https://imapinvasives.natureserve.org/imap/services/page/Presence/418481.html", "View")</f>
        <v>View</v>
      </c>
      <c r="C64">
        <v>418481</v>
      </c>
      <c r="D64">
        <v>418481</v>
      </c>
      <c r="E64" t="str">
        <f>HYPERLINK("http://imap3images.s3-website-us-east-1.amazonaws.com/418481/p/photourl2_2014_08_04_angklinczar_5pofc0fm.jpg", "View")</f>
        <v>View</v>
      </c>
      <c r="F64" t="s">
        <v>17</v>
      </c>
      <c r="G64" t="s">
        <v>18</v>
      </c>
      <c r="H64">
        <v>61321</v>
      </c>
      <c r="I64" t="str">
        <f t="shared" si="2"/>
        <v>View</v>
      </c>
      <c r="J64" t="s">
        <v>17</v>
      </c>
      <c r="K64" t="s">
        <v>19</v>
      </c>
      <c r="L64">
        <v>61321</v>
      </c>
      <c r="M64">
        <v>42.1</v>
      </c>
      <c r="N64">
        <v>61.09</v>
      </c>
      <c r="P64">
        <v>1</v>
      </c>
      <c r="R64" t="s">
        <v>53</v>
      </c>
      <c r="S64" t="s">
        <v>54</v>
      </c>
    </row>
    <row r="65" spans="1:19" x14ac:dyDescent="0.3">
      <c r="A65">
        <v>64</v>
      </c>
      <c r="B65" t="str">
        <f>HYPERLINK("https://imapinvasives.natureserve.org/imap/services/page/Presence/1152403.html", "View")</f>
        <v>View</v>
      </c>
      <c r="C65">
        <v>1152403</v>
      </c>
      <c r="D65">
        <v>1159345</v>
      </c>
      <c r="E65" t="str">
        <f>HYPERLINK("http://imap3images.s3-website-us-east-1.amazonaws.com/1159345/p/imap_app_photo_1627072170993.jpg", "View")</f>
        <v>View</v>
      </c>
      <c r="F65" t="s">
        <v>17</v>
      </c>
      <c r="G65" t="s">
        <v>18</v>
      </c>
      <c r="H65">
        <v>61321</v>
      </c>
      <c r="I65" t="str">
        <f t="shared" si="2"/>
        <v>View</v>
      </c>
      <c r="J65" t="s">
        <v>17</v>
      </c>
      <c r="K65" t="s">
        <v>19</v>
      </c>
      <c r="L65">
        <v>61321</v>
      </c>
      <c r="M65">
        <v>76.09</v>
      </c>
      <c r="N65">
        <v>99.71</v>
      </c>
      <c r="P65">
        <v>1</v>
      </c>
      <c r="R65" t="s">
        <v>53</v>
      </c>
      <c r="S65" t="s">
        <v>54</v>
      </c>
    </row>
    <row r="66" spans="1:19" x14ac:dyDescent="0.3">
      <c r="A66">
        <v>65</v>
      </c>
      <c r="B66" t="str">
        <f>HYPERLINK("https://imapinvasives.natureserve.org/imap/services/page/Presence/418605.html", "View")</f>
        <v>View</v>
      </c>
      <c r="C66">
        <v>418605</v>
      </c>
      <c r="D66">
        <v>418605</v>
      </c>
      <c r="E66" t="str">
        <f>HYPERLINK("http://imap3images.s3-website-us-east-1.amazonaws.com/418605/p/photourl2_2014_08_05_andstadler_pl9c6lcv.jpg", "View")</f>
        <v>View</v>
      </c>
      <c r="F66" t="s">
        <v>17</v>
      </c>
      <c r="G66" t="s">
        <v>18</v>
      </c>
      <c r="H66">
        <v>61321</v>
      </c>
      <c r="I66" t="str">
        <f t="shared" si="2"/>
        <v>View</v>
      </c>
      <c r="J66" t="s">
        <v>17</v>
      </c>
      <c r="K66" t="s">
        <v>19</v>
      </c>
      <c r="L66">
        <v>61321</v>
      </c>
      <c r="M66">
        <v>44.82</v>
      </c>
      <c r="N66">
        <v>99.38</v>
      </c>
      <c r="P66">
        <v>1</v>
      </c>
      <c r="R66" t="s">
        <v>53</v>
      </c>
      <c r="S66" t="s">
        <v>54</v>
      </c>
    </row>
    <row r="67" spans="1:19" x14ac:dyDescent="0.3">
      <c r="A67">
        <v>66</v>
      </c>
      <c r="B67" t="str">
        <f>HYPERLINK("https://imapinvasives.natureserve.org/imap/services/page/Presence/513425.html", "View")</f>
        <v>View</v>
      </c>
      <c r="C67">
        <v>513425</v>
      </c>
      <c r="D67">
        <v>513425</v>
      </c>
      <c r="E67" t="str">
        <f>HYPERLINK("http://imap3images.s3-website-us-east-1.amazonaws.com/513425/p/photourl1_2017_07_30_nevdunn_5zcuradf.jpg", "View")</f>
        <v>View</v>
      </c>
      <c r="F67" t="s">
        <v>17</v>
      </c>
      <c r="G67" t="s">
        <v>18</v>
      </c>
      <c r="H67">
        <v>61321</v>
      </c>
      <c r="I67" t="str">
        <f t="shared" si="2"/>
        <v>View</v>
      </c>
      <c r="J67" t="s">
        <v>17</v>
      </c>
      <c r="K67" t="s">
        <v>19</v>
      </c>
      <c r="L67">
        <v>61321</v>
      </c>
      <c r="M67">
        <v>17.89</v>
      </c>
      <c r="N67">
        <v>97.78</v>
      </c>
      <c r="P67">
        <v>1</v>
      </c>
      <c r="R67" t="s">
        <v>53</v>
      </c>
      <c r="S67" t="s">
        <v>54</v>
      </c>
    </row>
    <row r="68" spans="1:19" x14ac:dyDescent="0.3">
      <c r="A68">
        <v>67</v>
      </c>
      <c r="B68" t="str">
        <f>HYPERLINK("https://imapinvasives.natureserve.org/imap/services/page/Presence/528501.html", "View")</f>
        <v>View</v>
      </c>
      <c r="C68">
        <v>528501</v>
      </c>
      <c r="D68">
        <v>528501</v>
      </c>
      <c r="E68" t="str">
        <f>HYPERLINK("http://imap3images.s3-website-us-east-1.amazonaws.com/528501/p/photourl1_2018_07_13_kriwilliams_8agddgts.jpg", "View")</f>
        <v>View</v>
      </c>
      <c r="F68" t="s">
        <v>17</v>
      </c>
      <c r="G68" t="s">
        <v>18</v>
      </c>
      <c r="H68">
        <v>61321</v>
      </c>
      <c r="I68" t="str">
        <f t="shared" si="2"/>
        <v>View</v>
      </c>
      <c r="J68" t="s">
        <v>17</v>
      </c>
      <c r="K68" t="s">
        <v>19</v>
      </c>
      <c r="L68">
        <v>61321</v>
      </c>
      <c r="M68">
        <v>64.349999999999994</v>
      </c>
      <c r="N68">
        <v>99.48</v>
      </c>
      <c r="P68">
        <v>1</v>
      </c>
      <c r="R68" t="s">
        <v>53</v>
      </c>
      <c r="S68" t="s">
        <v>54</v>
      </c>
    </row>
    <row r="69" spans="1:19" x14ac:dyDescent="0.3">
      <c r="A69">
        <v>68</v>
      </c>
      <c r="B69" t="str">
        <f>HYPERLINK("https://imapinvasives.natureserve.org/imap/services/page/Presence/1290791.html", "View")</f>
        <v>View</v>
      </c>
      <c r="C69">
        <v>1290791</v>
      </c>
      <c r="D69">
        <v>1300982</v>
      </c>
      <c r="E69" t="str">
        <f>HYPERLINK("http://imap3images.s3-website-us-east-1.amazonaws.com/1300982/p/IMG_0046.JPG", "View")</f>
        <v>View</v>
      </c>
      <c r="F69" t="s">
        <v>17</v>
      </c>
      <c r="G69" t="s">
        <v>18</v>
      </c>
      <c r="H69">
        <v>61321</v>
      </c>
      <c r="I69" t="str">
        <f t="shared" si="2"/>
        <v>View</v>
      </c>
      <c r="J69" t="s">
        <v>17</v>
      </c>
      <c r="K69" t="s">
        <v>19</v>
      </c>
      <c r="L69">
        <v>61321</v>
      </c>
      <c r="M69">
        <v>64.349999999999994</v>
      </c>
      <c r="N69">
        <v>98.53</v>
      </c>
      <c r="P69">
        <v>1</v>
      </c>
      <c r="R69" t="s">
        <v>53</v>
      </c>
      <c r="S69" t="s">
        <v>54</v>
      </c>
    </row>
    <row r="70" spans="1:19" x14ac:dyDescent="0.3">
      <c r="A70">
        <v>69</v>
      </c>
      <c r="B70" t="str">
        <f>HYPERLINK("https://imapinvasives.natureserve.org/imap/services/page/Presence/1338084.html", "View")</f>
        <v>View</v>
      </c>
      <c r="C70">
        <v>1338084</v>
      </c>
      <c r="D70">
        <v>1352748</v>
      </c>
      <c r="E70" t="str">
        <f>HYPERLINK("http://imap3images.s3-website-us-east-1.amazonaws.com/1352748/p/imap_app_photo_1688248447265.jpg", "View")</f>
        <v>View</v>
      </c>
      <c r="F70" t="s">
        <v>17</v>
      </c>
      <c r="G70" t="s">
        <v>18</v>
      </c>
      <c r="H70">
        <v>61321</v>
      </c>
      <c r="I70" t="str">
        <f t="shared" si="2"/>
        <v>View</v>
      </c>
      <c r="J70" t="s">
        <v>17</v>
      </c>
      <c r="K70" t="s">
        <v>19</v>
      </c>
      <c r="L70">
        <v>61321</v>
      </c>
      <c r="M70">
        <v>76.09</v>
      </c>
      <c r="N70">
        <v>93.55</v>
      </c>
      <c r="P70">
        <v>1</v>
      </c>
      <c r="R70" t="s">
        <v>53</v>
      </c>
      <c r="S70" t="s">
        <v>54</v>
      </c>
    </row>
    <row r="71" spans="1:19" x14ac:dyDescent="0.3">
      <c r="A71">
        <v>70</v>
      </c>
      <c r="B71" t="str">
        <f>HYPERLINK("https://imapinvasives.natureserve.org/imap/services/page/Presence/1026066.html", "View")</f>
        <v>View</v>
      </c>
      <c r="C71">
        <v>1026066</v>
      </c>
      <c r="D71">
        <v>1027024</v>
      </c>
      <c r="E71" t="str">
        <f>HYPERLINK("http://imap3images.s3-website-us-east-1.amazonaws.com/1027024/p/imap_app_photo_1565723971605.jpg", "View")</f>
        <v>View</v>
      </c>
      <c r="F71" t="s">
        <v>17</v>
      </c>
      <c r="G71" t="s">
        <v>18</v>
      </c>
      <c r="H71">
        <v>61321</v>
      </c>
      <c r="I71" t="str">
        <f t="shared" si="2"/>
        <v>View</v>
      </c>
      <c r="J71" t="s">
        <v>17</v>
      </c>
      <c r="K71" t="s">
        <v>19</v>
      </c>
      <c r="L71">
        <v>61321</v>
      </c>
      <c r="M71">
        <v>24.59</v>
      </c>
      <c r="N71">
        <v>99.97</v>
      </c>
      <c r="P71">
        <v>1</v>
      </c>
      <c r="R71" t="s">
        <v>53</v>
      </c>
      <c r="S71" t="s">
        <v>54</v>
      </c>
    </row>
    <row r="72" spans="1:19" x14ac:dyDescent="0.3">
      <c r="A72">
        <v>71</v>
      </c>
      <c r="B72" t="str">
        <f>HYPERLINK("https://imapinvasives.natureserve.org/imap/services/page/Presence/1289164.html", "View")</f>
        <v>View</v>
      </c>
      <c r="C72">
        <v>1289164</v>
      </c>
      <c r="D72">
        <v>1299259</v>
      </c>
      <c r="E72" t="str">
        <f>HYPERLINK("http://imap3images.s3-website-us-east-1.amazonaws.com/1299259/p/imap_app_photo_1661443695041.jpg", "View")</f>
        <v>View</v>
      </c>
      <c r="F72" t="s">
        <v>17</v>
      </c>
      <c r="G72" t="s">
        <v>18</v>
      </c>
      <c r="H72">
        <v>61321</v>
      </c>
      <c r="I72" t="str">
        <f t="shared" si="2"/>
        <v>View</v>
      </c>
      <c r="J72" t="s">
        <v>17</v>
      </c>
      <c r="K72" t="s">
        <v>19</v>
      </c>
      <c r="L72">
        <v>61321</v>
      </c>
      <c r="M72">
        <v>39.86</v>
      </c>
      <c r="N72">
        <v>96.7</v>
      </c>
      <c r="P72">
        <v>1</v>
      </c>
      <c r="R72" t="s">
        <v>53</v>
      </c>
      <c r="S72" t="s">
        <v>54</v>
      </c>
    </row>
    <row r="73" spans="1:19" x14ac:dyDescent="0.3">
      <c r="A73">
        <v>72</v>
      </c>
      <c r="B73" t="str">
        <f>HYPERLINK("https://imapinvasives.natureserve.org/imap/services/page/Presence/1290085.html", "View")</f>
        <v>View</v>
      </c>
      <c r="C73">
        <v>1290085</v>
      </c>
      <c r="D73">
        <v>1300268</v>
      </c>
      <c r="E73" t="str">
        <f>HYPERLINK("http://imap3images.s3-website-us-east-1.amazonaws.com/1300268/p/imap_app_photo_1661722584548.jpg", "View")</f>
        <v>View</v>
      </c>
      <c r="F73" t="s">
        <v>17</v>
      </c>
      <c r="G73" t="s">
        <v>18</v>
      </c>
      <c r="H73">
        <v>61321</v>
      </c>
      <c r="I73" t="str">
        <f>HYPERLINK("https://www.inaturalist.org/taxa/60316-Typha-angustifolia", "View")</f>
        <v>View</v>
      </c>
      <c r="J73" t="s">
        <v>32</v>
      </c>
      <c r="K73" t="s">
        <v>33</v>
      </c>
      <c r="L73">
        <v>60316</v>
      </c>
      <c r="M73">
        <v>2.64</v>
      </c>
      <c r="N73">
        <v>31.35</v>
      </c>
      <c r="P73">
        <v>0</v>
      </c>
      <c r="R73" t="s">
        <v>55</v>
      </c>
      <c r="S73" t="s">
        <v>57</v>
      </c>
    </row>
    <row r="74" spans="1:19" x14ac:dyDescent="0.3">
      <c r="A74">
        <v>73</v>
      </c>
      <c r="B74" t="str">
        <f>HYPERLINK("https://imapinvasives.natureserve.org/imap/services/page/Presence/1354367.html", "View")</f>
        <v>View</v>
      </c>
      <c r="C74">
        <v>1354367</v>
      </c>
      <c r="D74">
        <v>1371813</v>
      </c>
      <c r="E74" t="str">
        <f>HYPERLINK("http://imap3images.s3-website-us-east-1.amazonaws.com/1371813/p/imap_app_photo_1695244333374.jpg", "View")</f>
        <v>View</v>
      </c>
      <c r="F74" t="s">
        <v>17</v>
      </c>
      <c r="G74" t="s">
        <v>18</v>
      </c>
      <c r="H74">
        <v>61321</v>
      </c>
      <c r="I74" t="str">
        <f t="shared" ref="I74:I88" si="3">HYPERLINK("https://www.inaturalist.org/taxa/61321-Lythrum-salicaria", "View")</f>
        <v>View</v>
      </c>
      <c r="J74" t="s">
        <v>17</v>
      </c>
      <c r="K74" t="s">
        <v>19</v>
      </c>
      <c r="L74">
        <v>61321</v>
      </c>
      <c r="M74">
        <v>32.47</v>
      </c>
      <c r="N74">
        <v>41.9</v>
      </c>
      <c r="P74">
        <v>1</v>
      </c>
      <c r="R74" t="s">
        <v>53</v>
      </c>
      <c r="S74" t="s">
        <v>59</v>
      </c>
    </row>
    <row r="75" spans="1:19" x14ac:dyDescent="0.3">
      <c r="A75">
        <v>74</v>
      </c>
      <c r="B75" t="str">
        <f>HYPERLINK("https://imapinvasives.natureserve.org/imap/services/page/Presence/1068385.html", "View")</f>
        <v>View</v>
      </c>
      <c r="C75">
        <v>1068385</v>
      </c>
      <c r="D75">
        <v>1073212</v>
      </c>
      <c r="E75" t="str">
        <f>HYPERLINK("http://imap3images.s3-website-us-east-1.amazonaws.com/1073212/p/imap_app_photo_1599519766559.jpg", "View")</f>
        <v>View</v>
      </c>
      <c r="F75" t="s">
        <v>17</v>
      </c>
      <c r="G75" t="s">
        <v>18</v>
      </c>
      <c r="H75">
        <v>61321</v>
      </c>
      <c r="I75" t="str">
        <f t="shared" si="3"/>
        <v>View</v>
      </c>
      <c r="J75" t="s">
        <v>17</v>
      </c>
      <c r="K75" t="s">
        <v>19</v>
      </c>
      <c r="L75">
        <v>61321</v>
      </c>
      <c r="M75">
        <v>64.349999999999994</v>
      </c>
      <c r="N75">
        <v>95.87</v>
      </c>
      <c r="P75">
        <v>1</v>
      </c>
      <c r="R75" t="s">
        <v>53</v>
      </c>
      <c r="S75" t="s">
        <v>54</v>
      </c>
    </row>
    <row r="76" spans="1:19" x14ac:dyDescent="0.3">
      <c r="A76">
        <v>75</v>
      </c>
      <c r="B76" t="str">
        <f>HYPERLINK("https://imapinvasives.natureserve.org/imap/services/page/Presence/510300.html", "View")</f>
        <v>View</v>
      </c>
      <c r="C76">
        <v>510300</v>
      </c>
      <c r="D76">
        <v>510300</v>
      </c>
      <c r="E76" t="str">
        <f>HYPERLINK("http://imap3images.s3-website-us-east-1.amazonaws.com/510300/p/photourl1_2017_02_21_casbradshaw_gr4giy53.jpg", "View")</f>
        <v>View</v>
      </c>
      <c r="F76" t="s">
        <v>17</v>
      </c>
      <c r="G76" t="s">
        <v>18</v>
      </c>
      <c r="H76">
        <v>61321</v>
      </c>
      <c r="I76" t="str">
        <f t="shared" si="3"/>
        <v>View</v>
      </c>
      <c r="J76" t="s">
        <v>17</v>
      </c>
      <c r="K76" t="s">
        <v>19</v>
      </c>
      <c r="L76">
        <v>61321</v>
      </c>
      <c r="M76">
        <v>64.349999999999994</v>
      </c>
      <c r="N76">
        <v>99.08</v>
      </c>
      <c r="P76">
        <v>1</v>
      </c>
      <c r="R76" t="s">
        <v>53</v>
      </c>
      <c r="S76" t="s">
        <v>54</v>
      </c>
    </row>
    <row r="77" spans="1:19" x14ac:dyDescent="0.3">
      <c r="A77">
        <v>76</v>
      </c>
      <c r="B77" t="str">
        <f>HYPERLINK("https://imapinvasives.natureserve.org/imap/services/page/Presence/1026350.html", "View")</f>
        <v>View</v>
      </c>
      <c r="C77">
        <v>1026350</v>
      </c>
      <c r="D77">
        <v>1027308</v>
      </c>
      <c r="E77" t="str">
        <f>HYPERLINK("http://imap3images.s3-website-us-east-1.amazonaws.com/1027308/p/imap_app_photo_1566074098267.jpg", "View")</f>
        <v>View</v>
      </c>
      <c r="F77" t="s">
        <v>17</v>
      </c>
      <c r="G77" t="s">
        <v>18</v>
      </c>
      <c r="H77">
        <v>61321</v>
      </c>
      <c r="I77" t="str">
        <f t="shared" si="3"/>
        <v>View</v>
      </c>
      <c r="J77" t="s">
        <v>17</v>
      </c>
      <c r="K77" t="s">
        <v>19</v>
      </c>
      <c r="L77">
        <v>61321</v>
      </c>
      <c r="M77">
        <v>32.47</v>
      </c>
      <c r="N77">
        <v>99.72</v>
      </c>
      <c r="P77">
        <v>1</v>
      </c>
      <c r="R77" t="s">
        <v>53</v>
      </c>
      <c r="S77" t="s">
        <v>54</v>
      </c>
    </row>
    <row r="78" spans="1:19" x14ac:dyDescent="0.3">
      <c r="A78">
        <v>77</v>
      </c>
      <c r="B78" t="str">
        <f>HYPERLINK("https://imapinvasives.natureserve.org/imap/services/page/Presence/1164160.html", "View")</f>
        <v>View</v>
      </c>
      <c r="C78">
        <v>1164160</v>
      </c>
      <c r="D78">
        <v>1171391</v>
      </c>
      <c r="E78" t="str">
        <f>HYPERLINK("http://imap3images.s3-website-us-east-1.amazonaws.com/1171391/p/imap_app_photo_1632164045991.jpg", "View")</f>
        <v>View</v>
      </c>
      <c r="F78" t="s">
        <v>17</v>
      </c>
      <c r="G78" t="s">
        <v>18</v>
      </c>
      <c r="H78">
        <v>61321</v>
      </c>
      <c r="I78" t="str">
        <f t="shared" si="3"/>
        <v>View</v>
      </c>
      <c r="J78" t="s">
        <v>17</v>
      </c>
      <c r="K78" t="s">
        <v>19</v>
      </c>
      <c r="L78">
        <v>61321</v>
      </c>
      <c r="M78">
        <v>32.47</v>
      </c>
      <c r="N78">
        <v>16.04</v>
      </c>
      <c r="P78">
        <v>1</v>
      </c>
      <c r="R78" t="s">
        <v>53</v>
      </c>
      <c r="S78" t="s">
        <v>61</v>
      </c>
    </row>
    <row r="79" spans="1:19" x14ac:dyDescent="0.3">
      <c r="A79">
        <v>78</v>
      </c>
      <c r="B79" t="str">
        <f>HYPERLINK("https://imapinvasives.natureserve.org/imap/services/page/Presence/1287047.html", "View")</f>
        <v>View</v>
      </c>
      <c r="C79">
        <v>1287047</v>
      </c>
      <c r="D79">
        <v>1296867</v>
      </c>
      <c r="E79" t="str">
        <f>HYPERLINK("http://imap3images.s3-website-us-east-1.amazonaws.com/1296867/p/imap_app_photo_1660599412264.jpg", "View")</f>
        <v>View</v>
      </c>
      <c r="F79" t="s">
        <v>17</v>
      </c>
      <c r="G79" t="s">
        <v>18</v>
      </c>
      <c r="H79">
        <v>61321</v>
      </c>
      <c r="I79" t="str">
        <f t="shared" si="3"/>
        <v>View</v>
      </c>
      <c r="J79" t="s">
        <v>17</v>
      </c>
      <c r="K79" t="s">
        <v>19</v>
      </c>
      <c r="L79">
        <v>61321</v>
      </c>
      <c r="M79">
        <v>21</v>
      </c>
      <c r="N79">
        <v>98.71</v>
      </c>
      <c r="P79">
        <v>1</v>
      </c>
      <c r="R79" t="s">
        <v>53</v>
      </c>
      <c r="S79" t="s">
        <v>54</v>
      </c>
    </row>
    <row r="80" spans="1:19" x14ac:dyDescent="0.3">
      <c r="A80">
        <v>79</v>
      </c>
      <c r="B80" t="str">
        <f>HYPERLINK("https://imapinvasives.natureserve.org/imap/services/page/Presence/1297328.html", "View")</f>
        <v>View</v>
      </c>
      <c r="C80">
        <v>1297328</v>
      </c>
      <c r="D80">
        <v>1307563</v>
      </c>
      <c r="E80" t="str">
        <f>HYPERLINK("http://imap3images.s3-website-us-east-1.amazonaws.com/1307563/p/imap_app_photo_1664110458989.jpg", "View")</f>
        <v>View</v>
      </c>
      <c r="F80" t="s">
        <v>17</v>
      </c>
      <c r="G80" t="s">
        <v>18</v>
      </c>
      <c r="H80">
        <v>61321</v>
      </c>
      <c r="I80" t="str">
        <f t="shared" si="3"/>
        <v>View</v>
      </c>
      <c r="J80" t="s">
        <v>17</v>
      </c>
      <c r="K80" t="s">
        <v>19</v>
      </c>
      <c r="L80">
        <v>61321</v>
      </c>
      <c r="M80">
        <v>70.03</v>
      </c>
      <c r="N80">
        <v>99.75</v>
      </c>
      <c r="P80">
        <v>1</v>
      </c>
      <c r="R80" t="s">
        <v>53</v>
      </c>
      <c r="S80" t="s">
        <v>54</v>
      </c>
    </row>
    <row r="81" spans="1:19" x14ac:dyDescent="0.3">
      <c r="A81">
        <v>80</v>
      </c>
      <c r="B81" t="str">
        <f>HYPERLINK("https://imapinvasives.natureserve.org/imap/services/page/Presence/1022974.html", "View")</f>
        <v>View</v>
      </c>
      <c r="C81">
        <v>1022974</v>
      </c>
      <c r="D81">
        <v>1023543</v>
      </c>
      <c r="E81" t="str">
        <f>HYPERLINK("http://imap3images.s3-website-us-east-1.amazonaws.com/1023543/p/Photo2-20180607-175943.jpg", "View")</f>
        <v>View</v>
      </c>
      <c r="F81" t="s">
        <v>17</v>
      </c>
      <c r="G81" t="s">
        <v>18</v>
      </c>
      <c r="H81">
        <v>61321</v>
      </c>
      <c r="I81" t="str">
        <f t="shared" si="3"/>
        <v>View</v>
      </c>
      <c r="J81" t="s">
        <v>17</v>
      </c>
      <c r="K81" t="s">
        <v>19</v>
      </c>
      <c r="L81">
        <v>61321</v>
      </c>
      <c r="M81">
        <v>70.03</v>
      </c>
      <c r="N81">
        <v>42.09</v>
      </c>
      <c r="P81">
        <v>1</v>
      </c>
      <c r="R81" t="s">
        <v>53</v>
      </c>
      <c r="S81" t="s">
        <v>59</v>
      </c>
    </row>
    <row r="82" spans="1:19" x14ac:dyDescent="0.3">
      <c r="A82">
        <v>81</v>
      </c>
      <c r="B82" t="str">
        <f>HYPERLINK("https://imapinvasives.natureserve.org/imap/services/page/Presence/1068753.html", "View")</f>
        <v>View</v>
      </c>
      <c r="C82">
        <v>1068753</v>
      </c>
      <c r="D82">
        <v>1073587</v>
      </c>
      <c r="E82" t="str">
        <f>HYPERLINK("http://imap3images.s3-website-us-east-1.amazonaws.com/1073587/p/imap_app_photo_1599853027616.jpg", "View")</f>
        <v>View</v>
      </c>
      <c r="F82" t="s">
        <v>17</v>
      </c>
      <c r="G82" t="s">
        <v>18</v>
      </c>
      <c r="H82">
        <v>61321</v>
      </c>
      <c r="I82" t="str">
        <f t="shared" si="3"/>
        <v>View</v>
      </c>
      <c r="J82" t="s">
        <v>17</v>
      </c>
      <c r="K82" t="s">
        <v>19</v>
      </c>
      <c r="L82">
        <v>61321</v>
      </c>
      <c r="M82">
        <v>21.7</v>
      </c>
      <c r="N82">
        <v>99.82</v>
      </c>
      <c r="P82">
        <v>1</v>
      </c>
      <c r="R82" t="s">
        <v>53</v>
      </c>
      <c r="S82" t="s">
        <v>54</v>
      </c>
    </row>
    <row r="83" spans="1:19" x14ac:dyDescent="0.3">
      <c r="A83">
        <v>82</v>
      </c>
      <c r="B83" t="str">
        <f>HYPERLINK("https://imapinvasives.natureserve.org/imap/services/page/Presence/1071152.html", "View")</f>
        <v>View</v>
      </c>
      <c r="C83">
        <v>1071152</v>
      </c>
      <c r="D83">
        <v>1076173</v>
      </c>
      <c r="E83" t="str">
        <f>HYPERLINK("http://imap3images.s3-website-us-east-1.amazonaws.com/1076173/p/attachment1.jpg", "View")</f>
        <v>View</v>
      </c>
      <c r="F83" t="s">
        <v>17</v>
      </c>
      <c r="G83" t="s">
        <v>18</v>
      </c>
      <c r="H83">
        <v>61321</v>
      </c>
      <c r="I83" t="str">
        <f t="shared" si="3"/>
        <v>View</v>
      </c>
      <c r="J83" t="s">
        <v>17</v>
      </c>
      <c r="K83" t="s">
        <v>19</v>
      </c>
      <c r="L83">
        <v>61321</v>
      </c>
      <c r="M83">
        <v>49.57</v>
      </c>
      <c r="N83">
        <v>95.12</v>
      </c>
      <c r="P83">
        <v>1</v>
      </c>
      <c r="R83" t="s">
        <v>53</v>
      </c>
      <c r="S83" t="s">
        <v>54</v>
      </c>
    </row>
    <row r="84" spans="1:19" x14ac:dyDescent="0.3">
      <c r="A84">
        <v>83</v>
      </c>
      <c r="B84" t="str">
        <f>HYPERLINK("https://imapinvasives.natureserve.org/imap/services/page/Presence/1290693.html", "View")</f>
        <v>View</v>
      </c>
      <c r="C84">
        <v>1290693</v>
      </c>
      <c r="D84">
        <v>1300882</v>
      </c>
      <c r="E84" t="str">
        <f>HYPERLINK("http://imap3images.s3-website-us-east-1.amazonaws.com/1300882/p/imap_app_photo_1661892788232.jpg", "View")</f>
        <v>View</v>
      </c>
      <c r="F84" t="s">
        <v>17</v>
      </c>
      <c r="G84" t="s">
        <v>18</v>
      </c>
      <c r="H84">
        <v>61321</v>
      </c>
      <c r="I84" t="str">
        <f t="shared" si="3"/>
        <v>View</v>
      </c>
      <c r="J84" t="s">
        <v>17</v>
      </c>
      <c r="K84" t="s">
        <v>19</v>
      </c>
      <c r="L84">
        <v>61321</v>
      </c>
      <c r="M84">
        <v>51.66</v>
      </c>
      <c r="N84">
        <v>96.57</v>
      </c>
      <c r="P84">
        <v>1</v>
      </c>
      <c r="R84" t="s">
        <v>53</v>
      </c>
      <c r="S84" t="s">
        <v>54</v>
      </c>
    </row>
    <row r="85" spans="1:19" x14ac:dyDescent="0.3">
      <c r="A85">
        <v>84</v>
      </c>
      <c r="B85" t="str">
        <f>HYPERLINK("https://imapinvasives.natureserve.org/imap/services/page/Presence/510307.html", "View")</f>
        <v>View</v>
      </c>
      <c r="C85">
        <v>510307</v>
      </c>
      <c r="D85">
        <v>510307</v>
      </c>
      <c r="E85" t="str">
        <f>HYPERLINK("http://imap3images.s3-website-us-east-1.amazonaws.com/510307/p/photourl1_2017_02_21_casbradshaw_7fvg15pu.jpg", "View")</f>
        <v>View</v>
      </c>
      <c r="F85" t="s">
        <v>17</v>
      </c>
      <c r="G85" t="s">
        <v>18</v>
      </c>
      <c r="H85">
        <v>61321</v>
      </c>
      <c r="I85" t="str">
        <f t="shared" si="3"/>
        <v>View</v>
      </c>
      <c r="J85" t="s">
        <v>17</v>
      </c>
      <c r="K85" t="s">
        <v>19</v>
      </c>
      <c r="L85">
        <v>61321</v>
      </c>
      <c r="M85">
        <v>64.349999999999994</v>
      </c>
      <c r="N85">
        <v>93.96</v>
      </c>
      <c r="P85">
        <v>1</v>
      </c>
      <c r="R85" t="s">
        <v>53</v>
      </c>
      <c r="S85" t="s">
        <v>54</v>
      </c>
    </row>
    <row r="86" spans="1:19" x14ac:dyDescent="0.3">
      <c r="A86">
        <v>85</v>
      </c>
      <c r="B86" t="str">
        <f>HYPERLINK("https://imapinvasives.natureserve.org/imap/services/page/Presence/1164161.html", "View")</f>
        <v>View</v>
      </c>
      <c r="C86">
        <v>1164161</v>
      </c>
      <c r="D86">
        <v>1171392</v>
      </c>
      <c r="E86" t="str">
        <f>HYPERLINK("http://imap3images.s3-website-us-east-1.amazonaws.com/1171392/p/imap_app_photo_1632164052446.jpg", "View")</f>
        <v>View</v>
      </c>
      <c r="F86" t="s">
        <v>17</v>
      </c>
      <c r="G86" t="s">
        <v>18</v>
      </c>
      <c r="H86">
        <v>61321</v>
      </c>
      <c r="I86" t="str">
        <f t="shared" si="3"/>
        <v>View</v>
      </c>
      <c r="J86" t="s">
        <v>17</v>
      </c>
      <c r="K86" t="s">
        <v>19</v>
      </c>
      <c r="L86">
        <v>61321</v>
      </c>
      <c r="M86">
        <v>32.47</v>
      </c>
      <c r="N86">
        <v>96.11</v>
      </c>
      <c r="P86">
        <v>1</v>
      </c>
      <c r="R86" t="s">
        <v>53</v>
      </c>
      <c r="S86" t="s">
        <v>54</v>
      </c>
    </row>
    <row r="87" spans="1:19" x14ac:dyDescent="0.3">
      <c r="A87">
        <v>86</v>
      </c>
      <c r="B87" t="str">
        <f>HYPERLINK("https://imapinvasives.natureserve.org/imap/services/page/Presence/1285938.html", "View")</f>
        <v>View</v>
      </c>
      <c r="C87">
        <v>1285938</v>
      </c>
      <c r="D87">
        <v>1295661</v>
      </c>
      <c r="E87" t="str">
        <f>HYPERLINK("http://imap3images.s3-website-us-east-1.amazonaws.com/1295661/p/imap_app_photo_1660144871885.jpg", "View")</f>
        <v>View</v>
      </c>
      <c r="F87" t="s">
        <v>17</v>
      </c>
      <c r="G87" t="s">
        <v>18</v>
      </c>
      <c r="H87">
        <v>61321</v>
      </c>
      <c r="I87" t="str">
        <f t="shared" si="3"/>
        <v>View</v>
      </c>
      <c r="J87" t="s">
        <v>17</v>
      </c>
      <c r="K87" t="s">
        <v>19</v>
      </c>
      <c r="L87">
        <v>61321</v>
      </c>
      <c r="M87">
        <v>49.72</v>
      </c>
      <c r="N87">
        <v>99.62</v>
      </c>
      <c r="P87">
        <v>1</v>
      </c>
      <c r="R87" t="s">
        <v>53</v>
      </c>
      <c r="S87" t="s">
        <v>54</v>
      </c>
    </row>
    <row r="88" spans="1:19" x14ac:dyDescent="0.3">
      <c r="A88">
        <v>87</v>
      </c>
      <c r="B88" t="str">
        <f>HYPERLINK("https://imapinvasives.natureserve.org/imap/services/page/Presence/419161.html", "View")</f>
        <v>View</v>
      </c>
      <c r="C88">
        <v>419161</v>
      </c>
      <c r="D88">
        <v>419161</v>
      </c>
      <c r="E88" t="str">
        <f>HYPERLINK("http://imap3images.s3-website-us-east-1.amazonaws.com/419161/p/photourl1_2014_08_20_jerkrajna_srt5uwqc.jpg", "View")</f>
        <v>View</v>
      </c>
      <c r="F88" t="s">
        <v>17</v>
      </c>
      <c r="G88" t="s">
        <v>18</v>
      </c>
      <c r="H88">
        <v>61321</v>
      </c>
      <c r="I88" t="str">
        <f t="shared" si="3"/>
        <v>View</v>
      </c>
      <c r="J88" t="s">
        <v>17</v>
      </c>
      <c r="K88" t="s">
        <v>19</v>
      </c>
      <c r="L88">
        <v>61321</v>
      </c>
      <c r="M88">
        <v>50.17</v>
      </c>
      <c r="N88">
        <v>95.23</v>
      </c>
      <c r="P88">
        <v>1</v>
      </c>
      <c r="R88" t="s">
        <v>53</v>
      </c>
      <c r="S88" t="s">
        <v>54</v>
      </c>
    </row>
    <row r="89" spans="1:19" x14ac:dyDescent="0.3">
      <c r="A89">
        <v>88</v>
      </c>
      <c r="B89" t="str">
        <f>HYPERLINK("https://imapinvasives.natureserve.org/imap/services/page/Presence/513098.html", "View")</f>
        <v>View</v>
      </c>
      <c r="C89">
        <v>513098</v>
      </c>
      <c r="D89">
        <v>513098</v>
      </c>
      <c r="E89" t="str">
        <f>HYPERLINK("http://imap3images.s3-website-us-east-1.amazonaws.com/513098/p/photourl1_2017_07_14_nevdunn_5dk2z3u2.jpg", "View")</f>
        <v>View</v>
      </c>
      <c r="F89" t="s">
        <v>17</v>
      </c>
      <c r="G89" t="s">
        <v>18</v>
      </c>
      <c r="H89">
        <v>61321</v>
      </c>
      <c r="I89" t="str">
        <f>HYPERLINK("https://www.inaturalist.org/taxa/130989-Euthamia-graminifolia", "View")</f>
        <v>View</v>
      </c>
      <c r="J89" t="s">
        <v>26</v>
      </c>
      <c r="K89" t="s">
        <v>27</v>
      </c>
      <c r="L89">
        <v>130989</v>
      </c>
      <c r="M89">
        <v>22.92</v>
      </c>
      <c r="N89">
        <v>51.28</v>
      </c>
      <c r="P89">
        <v>0</v>
      </c>
      <c r="R89" t="s">
        <v>53</v>
      </c>
      <c r="S89" t="s">
        <v>59</v>
      </c>
    </row>
    <row r="90" spans="1:19" x14ac:dyDescent="0.3">
      <c r="A90">
        <v>89</v>
      </c>
      <c r="B90" t="str">
        <f>HYPERLINK("https://imapinvasives.natureserve.org/imap/services/page/Presence/1060537.html", "View")</f>
        <v>View</v>
      </c>
      <c r="C90">
        <v>1060537</v>
      </c>
      <c r="D90">
        <v>1065068</v>
      </c>
      <c r="E90" t="str">
        <f>HYPERLINK("http://imap3images.s3-website-us-east-1.amazonaws.com/1065068/p/imap_app_photo_1596121594908.jpg", "View")</f>
        <v>View</v>
      </c>
      <c r="F90" t="s">
        <v>17</v>
      </c>
      <c r="G90" t="s">
        <v>18</v>
      </c>
      <c r="H90">
        <v>61321</v>
      </c>
      <c r="I90" t="str">
        <f t="shared" ref="I90:I95" si="4">HYPERLINK("https://www.inaturalist.org/taxa/61321-Lythrum-salicaria", "View")</f>
        <v>View</v>
      </c>
      <c r="J90" t="s">
        <v>17</v>
      </c>
      <c r="K90" t="s">
        <v>19</v>
      </c>
      <c r="L90">
        <v>61321</v>
      </c>
      <c r="M90">
        <v>15.25</v>
      </c>
      <c r="N90">
        <v>97.24</v>
      </c>
      <c r="P90">
        <v>1</v>
      </c>
      <c r="R90" t="s">
        <v>53</v>
      </c>
      <c r="S90" t="s">
        <v>54</v>
      </c>
    </row>
    <row r="91" spans="1:19" x14ac:dyDescent="0.3">
      <c r="A91">
        <v>90</v>
      </c>
      <c r="B91" t="str">
        <f>HYPERLINK("https://imapinvasives.natureserve.org/imap/services/page/Presence/1164142.html", "View")</f>
        <v>View</v>
      </c>
      <c r="C91">
        <v>1164142</v>
      </c>
      <c r="D91">
        <v>1171373</v>
      </c>
      <c r="E91" t="str">
        <f>HYPERLINK("http://imap3images.s3-website-us-east-1.amazonaws.com/1171373/p/imap_app_photo_1632163744905.jpg", "View")</f>
        <v>View</v>
      </c>
      <c r="F91" t="s">
        <v>17</v>
      </c>
      <c r="G91" t="s">
        <v>18</v>
      </c>
      <c r="H91">
        <v>61321</v>
      </c>
      <c r="I91" t="str">
        <f t="shared" si="4"/>
        <v>View</v>
      </c>
      <c r="J91" t="s">
        <v>17</v>
      </c>
      <c r="K91" t="s">
        <v>19</v>
      </c>
      <c r="L91">
        <v>61321</v>
      </c>
      <c r="M91">
        <v>32.47</v>
      </c>
      <c r="N91">
        <v>61.02</v>
      </c>
      <c r="P91">
        <v>1</v>
      </c>
      <c r="R91" t="s">
        <v>53</v>
      </c>
      <c r="S91" t="s">
        <v>54</v>
      </c>
    </row>
    <row r="92" spans="1:19" x14ac:dyDescent="0.3">
      <c r="A92">
        <v>91</v>
      </c>
      <c r="B92" t="str">
        <f>HYPERLINK("https://imapinvasives.natureserve.org/imap/services/page/Presence/528334.html", "View")</f>
        <v>View</v>
      </c>
      <c r="C92">
        <v>528334</v>
      </c>
      <c r="D92">
        <v>528334</v>
      </c>
      <c r="E92" t="str">
        <f>HYPERLINK("http://imap3images.s3-website-us-east-1.amazonaws.com/528334/p/photourl1_2018_07_08_jesingham_96o7rrxa.jpg", "View")</f>
        <v>View</v>
      </c>
      <c r="F92" t="s">
        <v>17</v>
      </c>
      <c r="G92" t="s">
        <v>18</v>
      </c>
      <c r="H92">
        <v>61321</v>
      </c>
      <c r="I92" t="str">
        <f t="shared" si="4"/>
        <v>View</v>
      </c>
      <c r="J92" t="s">
        <v>17</v>
      </c>
      <c r="K92" t="s">
        <v>19</v>
      </c>
      <c r="L92">
        <v>61321</v>
      </c>
      <c r="M92">
        <v>46.03</v>
      </c>
      <c r="N92">
        <v>96.18</v>
      </c>
      <c r="P92">
        <v>1</v>
      </c>
      <c r="R92" t="s">
        <v>53</v>
      </c>
      <c r="S92" t="s">
        <v>54</v>
      </c>
    </row>
    <row r="93" spans="1:19" x14ac:dyDescent="0.3">
      <c r="A93">
        <v>92</v>
      </c>
      <c r="B93" t="str">
        <f>HYPERLINK("https://imapinvasives.natureserve.org/imap/services/page/Presence/530059.html", "View")</f>
        <v>View</v>
      </c>
      <c r="C93">
        <v>530059</v>
      </c>
      <c r="D93">
        <v>530059</v>
      </c>
      <c r="E93" t="str">
        <f>HYPERLINK("http://imap3images.s3-website-us-east-1.amazonaws.com/530059/p/photourl1_2018_07_26_brirogers_4i3wxdbz.jpg", "View")</f>
        <v>View</v>
      </c>
      <c r="F93" t="s">
        <v>17</v>
      </c>
      <c r="G93" t="s">
        <v>18</v>
      </c>
      <c r="H93">
        <v>61321</v>
      </c>
      <c r="I93" t="str">
        <f t="shared" si="4"/>
        <v>View</v>
      </c>
      <c r="J93" t="s">
        <v>17</v>
      </c>
      <c r="K93" t="s">
        <v>19</v>
      </c>
      <c r="L93">
        <v>61321</v>
      </c>
      <c r="M93">
        <v>23</v>
      </c>
      <c r="N93">
        <v>99.73</v>
      </c>
      <c r="P93">
        <v>1</v>
      </c>
      <c r="R93" t="s">
        <v>53</v>
      </c>
      <c r="S93" t="s">
        <v>54</v>
      </c>
    </row>
    <row r="94" spans="1:19" x14ac:dyDescent="0.3">
      <c r="A94">
        <v>93</v>
      </c>
      <c r="B94" t="str">
        <f>HYPERLINK("https://imapinvasives.natureserve.org/imap/services/page/Presence/449335.html", "View")</f>
        <v>View</v>
      </c>
      <c r="C94">
        <v>449335</v>
      </c>
      <c r="D94">
        <v>449335</v>
      </c>
      <c r="E94" t="str">
        <f>HYPERLINK("http://imap3images.s3-website-us-east-1.amazonaws.com/449335/p/photourl4_2015_08_12_lucnuessle_oh1frb6m.jpg", "View")</f>
        <v>View</v>
      </c>
      <c r="F94" t="s">
        <v>17</v>
      </c>
      <c r="G94" t="s">
        <v>18</v>
      </c>
      <c r="H94">
        <v>61321</v>
      </c>
      <c r="I94" t="str">
        <f t="shared" si="4"/>
        <v>View</v>
      </c>
      <c r="J94" t="s">
        <v>17</v>
      </c>
      <c r="K94" t="s">
        <v>19</v>
      </c>
      <c r="L94">
        <v>61321</v>
      </c>
      <c r="M94">
        <v>26.85</v>
      </c>
      <c r="N94">
        <v>93.26</v>
      </c>
      <c r="P94">
        <v>1</v>
      </c>
      <c r="R94" t="s">
        <v>53</v>
      </c>
      <c r="S94" t="s">
        <v>61</v>
      </c>
    </row>
    <row r="95" spans="1:19" x14ac:dyDescent="0.3">
      <c r="A95">
        <v>94</v>
      </c>
      <c r="B95" t="str">
        <f>HYPERLINK("https://imapinvasives.natureserve.org/imap/services/page/Presence/420220.html", "View")</f>
        <v>View</v>
      </c>
      <c r="C95">
        <v>420220</v>
      </c>
      <c r="D95">
        <v>420220</v>
      </c>
      <c r="E95" t="str">
        <f>HYPERLINK("http://imap3images.s3-website-us-east-1.amazonaws.com/420220/p/photourl2_2014_09_09_jerkrajna_9syf5byd.jpg", "View")</f>
        <v>View</v>
      </c>
      <c r="F95" t="s">
        <v>17</v>
      </c>
      <c r="G95" t="s">
        <v>18</v>
      </c>
      <c r="H95">
        <v>61321</v>
      </c>
      <c r="I95" t="str">
        <f t="shared" si="4"/>
        <v>View</v>
      </c>
      <c r="J95" t="s">
        <v>17</v>
      </c>
      <c r="K95" t="s">
        <v>19</v>
      </c>
      <c r="L95">
        <v>61321</v>
      </c>
      <c r="M95">
        <v>44.82</v>
      </c>
      <c r="N95">
        <v>99.86</v>
      </c>
      <c r="P95">
        <v>1</v>
      </c>
      <c r="R95" t="s">
        <v>53</v>
      </c>
      <c r="S95" t="s">
        <v>54</v>
      </c>
    </row>
    <row r="96" spans="1:19" x14ac:dyDescent="0.3">
      <c r="A96">
        <v>95</v>
      </c>
      <c r="B96" t="str">
        <f>HYPERLINK("https://imapinvasives.natureserve.org/imap/services/page/Presence/419963.html", "View")</f>
        <v>View</v>
      </c>
      <c r="C96">
        <v>419963</v>
      </c>
      <c r="D96">
        <v>419963</v>
      </c>
      <c r="E96" t="str">
        <f>HYPERLINK("http://imap3images.s3-website-us-east-1.amazonaws.com/419963/p/photourl1_2014_09_08_jerkrajna_hljz3rxf.jpg", "View")</f>
        <v>View</v>
      </c>
      <c r="F96" t="s">
        <v>17</v>
      </c>
      <c r="G96" t="s">
        <v>18</v>
      </c>
      <c r="H96">
        <v>61321</v>
      </c>
      <c r="I96" t="str">
        <f>HYPERLINK("https://www.inaturalist.org/taxa/125381-Asclepias-incarnata", "View")</f>
        <v>View</v>
      </c>
      <c r="J96" t="s">
        <v>48</v>
      </c>
      <c r="K96" t="s">
        <v>49</v>
      </c>
      <c r="L96">
        <v>125381</v>
      </c>
      <c r="M96">
        <v>35.549999999999997</v>
      </c>
      <c r="N96">
        <v>44.1</v>
      </c>
      <c r="P96">
        <v>0</v>
      </c>
      <c r="R96" t="s">
        <v>53</v>
      </c>
      <c r="S96" t="s">
        <v>54</v>
      </c>
    </row>
    <row r="97" spans="1:19" x14ac:dyDescent="0.3">
      <c r="A97">
        <v>96</v>
      </c>
      <c r="B97" t="str">
        <f>HYPERLINK("https://imapinvasives.natureserve.org/imap/services/page/Presence/1068761.html", "View")</f>
        <v>View</v>
      </c>
      <c r="C97">
        <v>1068761</v>
      </c>
      <c r="D97">
        <v>1073595</v>
      </c>
      <c r="E97" t="str">
        <f>HYPERLINK("http://imap3images.s3-website-us-east-1.amazonaws.com/1073595/p/imap_app_photo_1599853354023.jpg", "View")</f>
        <v>View</v>
      </c>
      <c r="F97" t="s">
        <v>17</v>
      </c>
      <c r="G97" t="s">
        <v>18</v>
      </c>
      <c r="H97">
        <v>61321</v>
      </c>
      <c r="I97" t="str">
        <f>HYPERLINK("https://www.inaturalist.org/taxa/61321-Lythrum-salicaria", "View")</f>
        <v>View</v>
      </c>
      <c r="J97" t="s">
        <v>17</v>
      </c>
      <c r="K97" t="s">
        <v>19</v>
      </c>
      <c r="L97">
        <v>61321</v>
      </c>
      <c r="M97">
        <v>21.7</v>
      </c>
      <c r="N97">
        <v>99.65</v>
      </c>
      <c r="P97">
        <v>1</v>
      </c>
      <c r="R97" t="s">
        <v>53</v>
      </c>
      <c r="S97" t="s">
        <v>54</v>
      </c>
    </row>
    <row r="98" spans="1:19" x14ac:dyDescent="0.3">
      <c r="A98">
        <v>97</v>
      </c>
      <c r="B98" t="str">
        <f>HYPERLINK("https://imapinvasives.natureserve.org/imap/services/page/Presence/1068957.html", "View")</f>
        <v>View</v>
      </c>
      <c r="C98">
        <v>1068957</v>
      </c>
      <c r="D98">
        <v>1073807</v>
      </c>
      <c r="E98" t="str">
        <f>HYPERLINK("http://imap3images.s3-website-us-east-1.amazonaws.com/1073807/p/imap_app_photo_1600004918553.jpg", "View")</f>
        <v>View</v>
      </c>
      <c r="F98" t="s">
        <v>17</v>
      </c>
      <c r="G98" t="s">
        <v>18</v>
      </c>
      <c r="H98">
        <v>61321</v>
      </c>
      <c r="I98" t="str">
        <f>HYPERLINK("https://www.inaturalist.org/taxa/61321-Lythrum-salicaria", "View")</f>
        <v>View</v>
      </c>
      <c r="J98" t="s">
        <v>17</v>
      </c>
      <c r="K98" t="s">
        <v>19</v>
      </c>
      <c r="L98">
        <v>61321</v>
      </c>
      <c r="M98">
        <v>32.47</v>
      </c>
      <c r="N98">
        <v>95.86</v>
      </c>
      <c r="P98">
        <v>1</v>
      </c>
      <c r="R98" t="s">
        <v>53</v>
      </c>
      <c r="S98" t="s">
        <v>54</v>
      </c>
    </row>
    <row r="99" spans="1:19" x14ac:dyDescent="0.3">
      <c r="A99">
        <v>98</v>
      </c>
      <c r="B99" t="str">
        <f>HYPERLINK("https://imapinvasives.natureserve.org/imap/services/page/Presence/1068906.html", "View")</f>
        <v>View</v>
      </c>
      <c r="C99">
        <v>1068906</v>
      </c>
      <c r="D99">
        <v>1073749</v>
      </c>
      <c r="E99" t="str">
        <f>HYPERLINK("http://imap3images.s3-website-us-east-1.amazonaws.com/1073749/p/imap_app_photo_1599948947346.jpg", "View")</f>
        <v>View</v>
      </c>
      <c r="F99" t="s">
        <v>17</v>
      </c>
      <c r="G99" t="s">
        <v>18</v>
      </c>
      <c r="H99">
        <v>61321</v>
      </c>
      <c r="I99" t="str">
        <f>HYPERLINK("https://www.inaturalist.org/taxa/61321-Lythrum-salicaria", "View")</f>
        <v>View</v>
      </c>
      <c r="J99" t="s">
        <v>17</v>
      </c>
      <c r="K99" t="s">
        <v>19</v>
      </c>
      <c r="L99">
        <v>61321</v>
      </c>
      <c r="M99">
        <v>32.47</v>
      </c>
      <c r="N99">
        <v>84.99</v>
      </c>
      <c r="P99">
        <v>1</v>
      </c>
      <c r="R99" t="s">
        <v>53</v>
      </c>
      <c r="S99" t="s">
        <v>54</v>
      </c>
    </row>
    <row r="100" spans="1:19" x14ac:dyDescent="0.3">
      <c r="A100">
        <v>99</v>
      </c>
      <c r="B100" t="str">
        <f>HYPERLINK("https://imapinvasives.natureserve.org/imap/services/page/Presence/1298661.html", "View")</f>
        <v>View</v>
      </c>
      <c r="C100">
        <v>1298661</v>
      </c>
      <c r="D100">
        <v>1308984</v>
      </c>
      <c r="E100" t="str">
        <f>HYPERLINK("http://imap3images.s3-website-us-east-1.amazonaws.com/1308984/p/imap_app_photo_1665611825511.jpg", "View")</f>
        <v>View</v>
      </c>
      <c r="F100" t="s">
        <v>17</v>
      </c>
      <c r="G100" t="s">
        <v>18</v>
      </c>
      <c r="H100">
        <v>61321</v>
      </c>
      <c r="I100" t="str">
        <f>HYPERLINK("https://www.inaturalist.org/taxa/61321-Lythrum-salicaria", "View")</f>
        <v>View</v>
      </c>
      <c r="J100" t="s">
        <v>17</v>
      </c>
      <c r="K100" t="s">
        <v>19</v>
      </c>
      <c r="L100">
        <v>61321</v>
      </c>
      <c r="M100">
        <v>62.78</v>
      </c>
      <c r="N100">
        <v>18.670000000000002</v>
      </c>
      <c r="P100">
        <v>1</v>
      </c>
      <c r="R100" t="s">
        <v>53</v>
      </c>
      <c r="S100" t="s">
        <v>62</v>
      </c>
    </row>
    <row r="101" spans="1:19" x14ac:dyDescent="0.3">
      <c r="A101">
        <v>100</v>
      </c>
      <c r="B101" t="str">
        <f>HYPERLINK("https://imapinvasives.natureserve.org/imap/services/page/Presence/1289106.html", "View")</f>
        <v>View</v>
      </c>
      <c r="C101">
        <v>1289106</v>
      </c>
      <c r="D101">
        <v>1299199</v>
      </c>
      <c r="E101" t="str">
        <f>HYPERLINK("http://imap3images.s3-website-us-east-1.amazonaws.com/1299199/p/Photo1-20220824-225802.jpg", "View")</f>
        <v>View</v>
      </c>
      <c r="F101" t="s">
        <v>17</v>
      </c>
      <c r="G101" t="s">
        <v>18</v>
      </c>
      <c r="H101">
        <v>61321</v>
      </c>
      <c r="I101" t="str">
        <f>HYPERLINK("https://www.inaturalist.org/taxa/128551-Solidago-rugosa", "View")</f>
        <v>View</v>
      </c>
      <c r="J101" t="s">
        <v>67</v>
      </c>
      <c r="K101" t="s">
        <v>68</v>
      </c>
      <c r="L101">
        <v>128551</v>
      </c>
      <c r="M101">
        <v>14.64</v>
      </c>
      <c r="N101">
        <v>33.01</v>
      </c>
      <c r="P101">
        <v>0</v>
      </c>
      <c r="R101" t="s">
        <v>55</v>
      </c>
      <c r="S101" t="s">
        <v>57</v>
      </c>
    </row>
  </sheetData>
  <dataValidations count="2">
    <dataValidation type="list" allowBlank="1" showInputMessage="1" showErrorMessage="1" sqref="S1:S1048576" xr:uid="{4818176A-8260-4538-A6B1-F6765A52F067}">
      <formula1>"Good photo, Bad-Photo taken from long distance, Bad-Multiple focused species, Bad-limited contrast, Bad-Blur Photo, Bad-Dried Stems, Bad-Focused Different Species"</formula1>
    </dataValidation>
    <dataValidation type="list" allowBlank="1" showInputMessage="1" showErrorMessage="1" sqref="R1:R1048576" xr:uid="{AD74D726-3D2D-4151-A6F3-24EF407F4E18}">
      <formula1>"iMap is only correct, iNat is only correct, Both iMap and iNat correct, Both iMap and iNat incorrect, Undeterminable"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Taposh Mollick</cp:lastModifiedBy>
  <dcterms:created xsi:type="dcterms:W3CDTF">2025-01-15T06:57:33Z</dcterms:created>
  <dcterms:modified xsi:type="dcterms:W3CDTF">2025-01-24T03:14:12Z</dcterms:modified>
</cp:coreProperties>
</file>