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 activeTab="2"/>
  </bookViews>
  <sheets>
    <sheet name="Q20-4" sheetId="1" r:id="rId1"/>
    <sheet name="2017" sheetId="2" r:id="rId2"/>
    <sheet name="2015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3" l="1"/>
  <c r="Q10" i="3"/>
  <c r="Q8" i="3"/>
  <c r="Q5" i="3"/>
  <c r="Q4" i="3"/>
  <c r="P5" i="3"/>
  <c r="R5" i="3"/>
  <c r="A31" i="3"/>
  <c r="K5" i="3"/>
  <c r="J11" i="3"/>
  <c r="J6" i="3"/>
  <c r="J5" i="3"/>
  <c r="A26" i="3" l="1"/>
  <c r="J14" i="3"/>
  <c r="C14" i="3"/>
  <c r="J13" i="3"/>
  <c r="K13" i="3" s="1"/>
  <c r="A39" i="3" s="1"/>
  <c r="J10" i="3"/>
  <c r="J8" i="3"/>
  <c r="K8" i="3" s="1"/>
  <c r="A35" i="3" s="1"/>
  <c r="J4" i="3"/>
  <c r="C14" i="2"/>
  <c r="C6" i="2"/>
  <c r="C4" i="2"/>
  <c r="A31" i="2"/>
  <c r="A40" i="3" l="1"/>
  <c r="Q14" i="3" s="1"/>
  <c r="P14" i="3"/>
  <c r="A32" i="3"/>
  <c r="A36" i="3"/>
  <c r="R13" i="3" l="1"/>
  <c r="R14" i="3"/>
  <c r="P13" i="3"/>
  <c r="T13" i="3"/>
  <c r="Q6" i="3"/>
  <c r="T4" i="3" s="1"/>
  <c r="P4" i="3"/>
  <c r="U13" i="3"/>
  <c r="R6" i="3"/>
  <c r="R10" i="3"/>
  <c r="P10" i="3"/>
  <c r="R8" i="3"/>
  <c r="P8" i="3"/>
  <c r="P6" i="3"/>
  <c r="R4" i="3"/>
  <c r="U4" i="3" s="1"/>
  <c r="S13" i="3"/>
  <c r="A26" i="2"/>
  <c r="J14" i="2"/>
  <c r="J13" i="2"/>
  <c r="K13" i="2" s="1"/>
  <c r="A39" i="2" s="1"/>
  <c r="J10" i="2"/>
  <c r="J8" i="2"/>
  <c r="K8" i="2" s="1"/>
  <c r="A35" i="2" s="1"/>
  <c r="J4" i="2"/>
  <c r="Q15" i="1"/>
  <c r="Q14" i="1"/>
  <c r="Q6" i="1"/>
  <c r="Q5" i="1"/>
  <c r="Q4" i="1"/>
  <c r="S8" i="3" l="1"/>
  <c r="U8" i="3"/>
  <c r="T8" i="3"/>
  <c r="S4" i="3"/>
  <c r="A40" i="2"/>
  <c r="A32" i="2"/>
  <c r="A36" i="2"/>
  <c r="K9" i="1"/>
  <c r="J9" i="1"/>
  <c r="A34" i="1"/>
  <c r="A30" i="1"/>
  <c r="P13" i="1"/>
  <c r="P5" i="1"/>
  <c r="A31" i="1"/>
  <c r="P4" i="1"/>
  <c r="S4" i="1"/>
  <c r="R5" i="1"/>
  <c r="Q6" i="2" l="1"/>
  <c r="Q4" i="2"/>
  <c r="R6" i="2"/>
  <c r="P6" i="2"/>
  <c r="R4" i="2"/>
  <c r="P4" i="2"/>
  <c r="S4" i="2" s="1"/>
  <c r="R11" i="2"/>
  <c r="P11" i="2"/>
  <c r="R10" i="2"/>
  <c r="P10" i="2"/>
  <c r="R9" i="2"/>
  <c r="P9" i="2"/>
  <c r="R8" i="2"/>
  <c r="P8" i="2"/>
  <c r="S8" i="2" s="1"/>
  <c r="Q11" i="2"/>
  <c r="Q10" i="2"/>
  <c r="Q9" i="2"/>
  <c r="Q8" i="2"/>
  <c r="R14" i="2"/>
  <c r="P14" i="2"/>
  <c r="Q13" i="2"/>
  <c r="Q14" i="2"/>
  <c r="R13" i="2"/>
  <c r="P13" i="2"/>
  <c r="A25" i="1"/>
  <c r="U4" i="2" l="1"/>
  <c r="S13" i="2"/>
  <c r="U8" i="2"/>
  <c r="T13" i="2"/>
  <c r="U13" i="2"/>
  <c r="T8" i="2"/>
  <c r="T4" i="2"/>
  <c r="J15" i="1"/>
  <c r="J14" i="1"/>
  <c r="J13" i="1"/>
  <c r="K13" i="1" s="1"/>
  <c r="A38" i="1" s="1"/>
  <c r="A39" i="1" s="1"/>
  <c r="J11" i="1"/>
  <c r="J10" i="1"/>
  <c r="J8" i="1"/>
  <c r="K8" i="1" s="1"/>
  <c r="J6" i="1"/>
  <c r="J5" i="1"/>
  <c r="K5" i="1" s="1"/>
  <c r="J4" i="1"/>
  <c r="R14" i="1" l="1"/>
  <c r="Q13" i="1"/>
  <c r="P14" i="1"/>
  <c r="R15" i="1"/>
  <c r="R13" i="1"/>
  <c r="P15" i="1"/>
  <c r="A35" i="1"/>
  <c r="R6" i="1"/>
  <c r="R4" i="1"/>
  <c r="P6" i="1"/>
  <c r="R9" i="1" l="1"/>
  <c r="P10" i="1"/>
  <c r="R10" i="1"/>
  <c r="R8" i="1"/>
  <c r="Q11" i="1"/>
  <c r="P8" i="1"/>
  <c r="S8" i="1" s="1"/>
  <c r="R11" i="1"/>
  <c r="Q10" i="1"/>
  <c r="Q8" i="1"/>
  <c r="P11" i="1"/>
  <c r="P9" i="1"/>
  <c r="Q9" i="1"/>
  <c r="T4" i="1"/>
  <c r="T13" i="1"/>
  <c r="S13" i="1"/>
  <c r="U4" i="1"/>
  <c r="U13" i="1"/>
  <c r="U8" i="1" l="1"/>
  <c r="T8" i="1"/>
</calcChain>
</file>

<file path=xl/sharedStrings.xml><?xml version="1.0" encoding="utf-8"?>
<sst xmlns="http://schemas.openxmlformats.org/spreadsheetml/2006/main" count="296" uniqueCount="57">
  <si>
    <t>Well</t>
  </si>
  <si>
    <t>Screen Bottom (ft bgs)</t>
  </si>
  <si>
    <t>MP Elevation (ft mllw)</t>
  </si>
  <si>
    <t>Stickup (ft)</t>
  </si>
  <si>
    <t>SD-3</t>
  </si>
  <si>
    <t>SMW-34</t>
  </si>
  <si>
    <t>SMW-I-1</t>
  </si>
  <si>
    <t>SMW-21A</t>
  </si>
  <si>
    <t>SMW-35</t>
  </si>
  <si>
    <t>SMW-31</t>
  </si>
  <si>
    <t>SMW-06</t>
  </si>
  <si>
    <t>SMW-29</t>
  </si>
  <si>
    <t>SMW-09</t>
  </si>
  <si>
    <t>SMW-36</t>
  </si>
  <si>
    <t>Placeholder MP Elevation; actual value not available</t>
  </si>
  <si>
    <t>Stickup heights are approximate</t>
  </si>
  <si>
    <t>Top Screen (ft bgs)</t>
  </si>
  <si>
    <t>SMW-06 screen is estimated; set equal to SMW-09</t>
  </si>
  <si>
    <t>SMW-1-1 screen is estimated; set equal to SD-3</t>
  </si>
  <si>
    <r>
      <t>TCE Concentration (</t>
    </r>
    <r>
      <rPr>
        <sz val="10"/>
        <color theme="1"/>
        <rFont val="Symbol"/>
        <family val="1"/>
        <charset val="2"/>
      </rPr>
      <t>m</t>
    </r>
    <r>
      <rPr>
        <sz val="10"/>
        <color theme="1"/>
        <rFont val="Arial"/>
        <family val="2"/>
      </rPr>
      <t>g/L)</t>
    </r>
  </si>
  <si>
    <r>
      <t>Benzene Concentration (</t>
    </r>
    <r>
      <rPr>
        <sz val="10"/>
        <color theme="1"/>
        <rFont val="Symbol"/>
        <family val="1"/>
        <charset val="2"/>
      </rPr>
      <t>m</t>
    </r>
    <r>
      <rPr>
        <sz val="10"/>
        <color theme="1"/>
        <rFont val="Arial"/>
        <family val="2"/>
      </rPr>
      <t>g/L)</t>
    </r>
  </si>
  <si>
    <r>
      <t>Vinyl Chloride Concentration (</t>
    </r>
    <r>
      <rPr>
        <sz val="10"/>
        <color theme="1"/>
        <rFont val="Symbol"/>
        <family val="1"/>
        <charset val="2"/>
      </rPr>
      <t>m</t>
    </r>
    <r>
      <rPr>
        <sz val="10"/>
        <color theme="1"/>
        <rFont val="Arial"/>
        <family val="2"/>
      </rPr>
      <t>g/L)</t>
    </r>
  </si>
  <si>
    <t>Q20-4</t>
  </si>
  <si>
    <t>Groundwater Elevation (ft mllw)</t>
  </si>
  <si>
    <t>Groundwater Depth (ft bgs)</t>
  </si>
  <si>
    <t>Water Column (ft)</t>
  </si>
  <si>
    <t>Hydraulic conductivity</t>
  </si>
  <si>
    <t>ft/day</t>
  </si>
  <si>
    <t>ft/ft</t>
  </si>
  <si>
    <t>Hydraulic gradient</t>
  </si>
  <si>
    <t>ft</t>
  </si>
  <si>
    <t>Flux plane length</t>
  </si>
  <si>
    <t>Flux plane height</t>
  </si>
  <si>
    <t>TCE Mass Flux (g/day)</t>
  </si>
  <si>
    <t>L/day</t>
  </si>
  <si>
    <t>Water flux through full plane</t>
  </si>
  <si>
    <t>Transect Segment (ft)</t>
  </si>
  <si>
    <t>Benzene Mass Flux (g/day)</t>
  </si>
  <si>
    <t>Full Transect</t>
  </si>
  <si>
    <t>TCE and Daughters Molar Flux (mole/day)</t>
  </si>
  <si>
    <t>g/mole</t>
  </si>
  <si>
    <r>
      <t>cis-1,2-DCE Concentration (</t>
    </r>
    <r>
      <rPr>
        <sz val="10"/>
        <color theme="1"/>
        <rFont val="Symbol"/>
        <family val="1"/>
        <charset val="2"/>
      </rPr>
      <t>m</t>
    </r>
    <r>
      <rPr>
        <sz val="10"/>
        <color theme="1"/>
        <rFont val="Arial"/>
        <family val="2"/>
      </rPr>
      <t>g/L)</t>
    </r>
  </si>
  <si>
    <t>TCE molecular weight</t>
  </si>
  <si>
    <t>cis-1,2-DCE molecular weight</t>
  </si>
  <si>
    <t>Vinyl chloride molecular weight</t>
  </si>
  <si>
    <t>TCE and Daughter Products Molar Flux (mole/day)</t>
  </si>
  <si>
    <t>cis-1,2-DCE flux applied over the full transect using available wells</t>
  </si>
  <si>
    <t>Depth to Clay (ft bgs)</t>
  </si>
  <si>
    <t>Transect A</t>
  </si>
  <si>
    <t>Transect B</t>
  </si>
  <si>
    <t>Transect C</t>
  </si>
  <si>
    <t>Non-detects set to detection limit</t>
  </si>
  <si>
    <t>--</t>
  </si>
  <si>
    <t>Sample Date</t>
  </si>
  <si>
    <t>Groundwater elevation is from Q17-4</t>
  </si>
  <si>
    <t>Groundwater elevation data is from Q15-4</t>
  </si>
  <si>
    <t>Flux plane height (uses SD-3 fluid level and SMW-34 clay depth)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</si>
</sst>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E+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Symbol"/>
      <family val="1"/>
      <charset val="2"/>
    </font>
    <font>
      <i/>
      <sz val="10"/>
      <color theme="1"/>
      <name val="Arial"/>
      <family val="2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3" fontId="1" fillId="0" borderId="0" xfId="0" applyNumberFormat="1" applyFont="1"/>
    <xf numFmtId="2" fontId="1" fillId="0" borderId="0" xfId="0" applyNumberFormat="1" applyFont="1"/>
    <xf numFmtId="0" fontId="4" fillId="0" borderId="0" xfId="0" applyFont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5" xfId="0" applyFont="1" applyBorder="1"/>
    <xf numFmtId="165" fontId="1" fillId="0" borderId="6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3" fillId="0" borderId="8" xfId="0" applyFont="1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2" fontId="1" fillId="0" borderId="10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0" xfId="0" quotePrefix="1" applyFont="1" applyBorder="1" applyAlignment="1">
      <alignment horizontal="center"/>
    </xf>
    <xf numFmtId="0" fontId="1" fillId="0" borderId="10" xfId="0" quotePrefix="1" applyFont="1" applyFill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166" fontId="1" fillId="0" borderId="10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3" fillId="0" borderId="16" xfId="0" applyFont="1" applyBorder="1" applyAlignment="1"/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2" fontId="1" fillId="0" borderId="10" xfId="0" applyNumberFormat="1" applyFont="1" applyBorder="1" applyAlignment="1">
      <alignment horizontal="center"/>
    </xf>
    <xf numFmtId="0" fontId="3" fillId="0" borderId="16" xfId="0" applyFont="1" applyBorder="1"/>
    <xf numFmtId="0" fontId="1" fillId="0" borderId="17" xfId="0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165" fontId="1" fillId="0" borderId="17" xfId="0" applyNumberFormat="1" applyFont="1" applyBorder="1" applyAlignment="1">
      <alignment horizontal="center"/>
    </xf>
    <xf numFmtId="165" fontId="1" fillId="0" borderId="18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6" fontId="1" fillId="0" borderId="10" xfId="0" applyNumberFormat="1" applyFont="1" applyFill="1" applyBorder="1" applyAlignment="1">
      <alignment horizontal="center"/>
    </xf>
    <xf numFmtId="166" fontId="1" fillId="0" borderId="0" xfId="0" applyNumberFormat="1" applyFont="1"/>
    <xf numFmtId="2" fontId="1" fillId="0" borderId="1" xfId="0" quotePrefix="1" applyNumberFormat="1" applyFont="1" applyBorder="1" applyAlignment="1">
      <alignment horizontal="center"/>
    </xf>
    <xf numFmtId="2" fontId="1" fillId="0" borderId="10" xfId="0" quotePrefix="1" applyNumberFormat="1" applyFont="1" applyBorder="1" applyAlignment="1">
      <alignment horizontal="center"/>
    </xf>
    <xf numFmtId="2" fontId="1" fillId="2" borderId="1" xfId="0" quotePrefix="1" applyNumberFormat="1" applyFont="1" applyFill="1" applyBorder="1" applyAlignment="1">
      <alignment horizontal="center"/>
    </xf>
    <xf numFmtId="2" fontId="1" fillId="0" borderId="10" xfId="0" quotePrefix="1" applyNumberFormat="1" applyFont="1" applyFill="1" applyBorder="1" applyAlignment="1">
      <alignment horizontal="center"/>
    </xf>
    <xf numFmtId="165" fontId="1" fillId="0" borderId="1" xfId="0" quotePrefix="1" applyNumberFormat="1" applyFont="1" applyBorder="1" applyAlignment="1">
      <alignment horizontal="center"/>
    </xf>
    <xf numFmtId="166" fontId="1" fillId="0" borderId="1" xfId="0" quotePrefix="1" applyNumberFormat="1" applyFont="1" applyBorder="1" applyAlignment="1">
      <alignment horizontal="center"/>
    </xf>
    <xf numFmtId="165" fontId="1" fillId="0" borderId="10" xfId="0" quotePrefix="1" applyNumberFormat="1" applyFont="1" applyBorder="1" applyAlignment="1">
      <alignment horizontal="center"/>
    </xf>
    <xf numFmtId="166" fontId="1" fillId="0" borderId="10" xfId="0" quotePrefix="1" applyNumberFormat="1" applyFont="1" applyBorder="1" applyAlignment="1">
      <alignment horizontal="center"/>
    </xf>
    <xf numFmtId="0" fontId="1" fillId="0" borderId="19" xfId="0" applyFont="1" applyBorder="1" applyAlignment="1">
      <alignment wrapText="1"/>
    </xf>
    <xf numFmtId="0" fontId="3" fillId="0" borderId="17" xfId="0" applyFont="1" applyBorder="1" applyAlignment="1"/>
    <xf numFmtId="14" fontId="1" fillId="0" borderId="20" xfId="0" applyNumberFormat="1" applyFont="1" applyBorder="1"/>
    <xf numFmtId="14" fontId="1" fillId="0" borderId="21" xfId="0" applyNumberFormat="1" applyFont="1" applyBorder="1"/>
    <xf numFmtId="14" fontId="3" fillId="0" borderId="17" xfId="0" applyNumberFormat="1" applyFont="1" applyBorder="1"/>
    <xf numFmtId="14" fontId="3" fillId="0" borderId="0" xfId="0" applyNumberFormat="1" applyFont="1" applyBorder="1"/>
    <xf numFmtId="0" fontId="1" fillId="0" borderId="1" xfId="0" quotePrefix="1" applyFont="1" applyFill="1" applyBorder="1" applyAlignment="1">
      <alignment horizontal="center"/>
    </xf>
    <xf numFmtId="14" fontId="1" fillId="0" borderId="20" xfId="0" quotePrefix="1" applyNumberFormat="1" applyFont="1" applyBorder="1"/>
    <xf numFmtId="14" fontId="1" fillId="0" borderId="21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>
      <pane xSplit="3" ySplit="2" topLeftCell="H3" activePane="bottomRight" state="frozen"/>
      <selection pane="topRight" activeCell="C1" sqref="C1"/>
      <selection pane="bottomLeft" activeCell="A3" sqref="A3"/>
      <selection pane="bottomRight" activeCell="B16" sqref="B16"/>
    </sheetView>
  </sheetViews>
  <sheetFormatPr defaultRowHeight="12.75" x14ac:dyDescent="0.2"/>
  <cols>
    <col min="1" max="2" width="9.140625" style="1"/>
    <col min="3" max="6" width="0" style="1" hidden="1" customWidth="1"/>
    <col min="7" max="9" width="11.85546875" style="1" hidden="1" customWidth="1"/>
    <col min="10" max="11" width="14.28515625" style="1" hidden="1" customWidth="1"/>
    <col min="12" max="13" width="14.28515625" style="1" customWidth="1"/>
    <col min="14" max="15" width="13.42578125" style="1" customWidth="1"/>
    <col min="16" max="16" width="11.5703125" style="1" customWidth="1"/>
    <col min="17" max="17" width="14.85546875" style="1" customWidth="1"/>
    <col min="18" max="18" width="9.140625" style="1"/>
    <col min="19" max="20" width="11.85546875" style="1" customWidth="1"/>
    <col min="21" max="16384" width="9.140625" style="1"/>
  </cols>
  <sheetData>
    <row r="1" spans="1:22" ht="13.5" thickBot="1" x14ac:dyDescent="0.25">
      <c r="A1" s="1" t="s">
        <v>22</v>
      </c>
      <c r="S1" s="48" t="s">
        <v>38</v>
      </c>
      <c r="T1" s="49"/>
      <c r="U1" s="50"/>
    </row>
    <row r="2" spans="1:22" s="2" customFormat="1" ht="51.75" thickBot="1" x14ac:dyDescent="0.25">
      <c r="A2" s="36" t="s">
        <v>0</v>
      </c>
      <c r="B2" s="61" t="s">
        <v>53</v>
      </c>
      <c r="C2" s="37" t="s">
        <v>36</v>
      </c>
      <c r="D2" s="37" t="s">
        <v>47</v>
      </c>
      <c r="E2" s="37" t="s">
        <v>2</v>
      </c>
      <c r="F2" s="37" t="s">
        <v>3</v>
      </c>
      <c r="G2" s="37" t="s">
        <v>16</v>
      </c>
      <c r="H2" s="37" t="s">
        <v>1</v>
      </c>
      <c r="I2" s="37" t="s">
        <v>23</v>
      </c>
      <c r="J2" s="37" t="s">
        <v>24</v>
      </c>
      <c r="K2" s="37" t="s">
        <v>25</v>
      </c>
      <c r="L2" s="37" t="s">
        <v>19</v>
      </c>
      <c r="M2" s="37" t="s">
        <v>41</v>
      </c>
      <c r="N2" s="37" t="s">
        <v>21</v>
      </c>
      <c r="O2" s="37" t="s">
        <v>20</v>
      </c>
      <c r="P2" s="37" t="s">
        <v>33</v>
      </c>
      <c r="Q2" s="37" t="s">
        <v>45</v>
      </c>
      <c r="R2" s="37" t="s">
        <v>37</v>
      </c>
      <c r="S2" s="37" t="s">
        <v>33</v>
      </c>
      <c r="T2" s="37" t="s">
        <v>39</v>
      </c>
      <c r="U2" s="38" t="s">
        <v>37</v>
      </c>
    </row>
    <row r="3" spans="1:22" s="2" customFormat="1" x14ac:dyDescent="0.2">
      <c r="A3" s="39" t="s">
        <v>48</v>
      </c>
      <c r="B3" s="62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1"/>
    </row>
    <row r="4" spans="1:22" x14ac:dyDescent="0.2">
      <c r="A4" s="22" t="s">
        <v>4</v>
      </c>
      <c r="B4" s="63">
        <v>44047</v>
      </c>
      <c r="C4" s="14">
        <v>64</v>
      </c>
      <c r="D4" s="15" t="s">
        <v>52</v>
      </c>
      <c r="E4" s="16">
        <v>147.19999999999999</v>
      </c>
      <c r="F4" s="14">
        <v>3</v>
      </c>
      <c r="G4" s="14">
        <v>52.8</v>
      </c>
      <c r="H4" s="14">
        <v>63.1</v>
      </c>
      <c r="I4" s="14">
        <v>88.59</v>
      </c>
      <c r="J4" s="14">
        <f>(E4-F4)-I4</f>
        <v>55.609999999999985</v>
      </c>
      <c r="K4" s="15" t="s">
        <v>52</v>
      </c>
      <c r="L4" s="14">
        <v>1.1499999999999999</v>
      </c>
      <c r="M4" s="15" t="s">
        <v>52</v>
      </c>
      <c r="N4" s="14">
        <v>0.19</v>
      </c>
      <c r="O4" s="14">
        <v>4.7</v>
      </c>
      <c r="P4" s="17">
        <f>L4/10^6*C4/$A$27*$A$31</f>
        <v>3.6354937589660758E-3</v>
      </c>
      <c r="Q4" s="18">
        <f>C4/$A$27*(L4/$A$41+M6/$A$42+N4/$A$43)/10^6*$A$31</f>
        <v>2.5148599338561901E-4</v>
      </c>
      <c r="R4" s="17">
        <f>O4/10^6*C4/$A$27*$A$31</f>
        <v>1.4858104927948309E-2</v>
      </c>
      <c r="S4" s="17">
        <f>SUM(P4:P6)</f>
        <v>0.18810321322546047</v>
      </c>
      <c r="T4" s="18">
        <f>SUM(Q4:Q6)</f>
        <v>2.5894380331391103E-3</v>
      </c>
      <c r="U4" s="23">
        <f>SUM(R4:R6)</f>
        <v>6.5915552264297281E-2</v>
      </c>
    </row>
    <row r="5" spans="1:22" x14ac:dyDescent="0.2">
      <c r="A5" s="22" t="s">
        <v>5</v>
      </c>
      <c r="B5" s="68">
        <v>44047</v>
      </c>
      <c r="C5" s="14">
        <v>69</v>
      </c>
      <c r="D5" s="14">
        <v>74</v>
      </c>
      <c r="E5" s="16">
        <v>145.38999999999999</v>
      </c>
      <c r="F5" s="14">
        <v>3</v>
      </c>
      <c r="G5" s="14">
        <v>47</v>
      </c>
      <c r="H5" s="14">
        <v>67</v>
      </c>
      <c r="I5" s="14">
        <v>88.02</v>
      </c>
      <c r="J5" s="14">
        <f t="shared" ref="J5:J6" si="0">(E5-F5)-I5</f>
        <v>54.36999999999999</v>
      </c>
      <c r="K5" s="14">
        <f>D5-J5</f>
        <v>19.63000000000001</v>
      </c>
      <c r="L5" s="14">
        <v>8.68</v>
      </c>
      <c r="M5" s="15" t="s">
        <v>52</v>
      </c>
      <c r="N5" s="14">
        <v>5.33</v>
      </c>
      <c r="O5" s="14">
        <v>6.96</v>
      </c>
      <c r="P5" s="17">
        <f>L5/10^6*C5/$A$27*$A$31</f>
        <v>2.9583830463586439E-2</v>
      </c>
      <c r="Q5" s="18">
        <f>C5/$A$27*(L5/$A$41+M6/$A$42+N5/$A$43)/10^6*$A$31</f>
        <v>7.4960115365590562E-4</v>
      </c>
      <c r="R5" s="17">
        <f>O5/10^6*C5/$A$27*$A$31</f>
        <v>2.3721596777253644E-2</v>
      </c>
      <c r="S5" s="12"/>
      <c r="T5" s="12"/>
      <c r="U5" s="24"/>
    </row>
    <row r="6" spans="1:22" ht="13.5" thickBot="1" x14ac:dyDescent="0.25">
      <c r="A6" s="26" t="s">
        <v>6</v>
      </c>
      <c r="B6" s="64">
        <v>44047</v>
      </c>
      <c r="C6" s="27">
        <v>117</v>
      </c>
      <c r="D6" s="30" t="s">
        <v>52</v>
      </c>
      <c r="E6" s="42">
        <v>145.85</v>
      </c>
      <c r="F6" s="27">
        <v>3</v>
      </c>
      <c r="G6" s="27">
        <v>52.8</v>
      </c>
      <c r="H6" s="27">
        <v>63.1</v>
      </c>
      <c r="I6" s="27">
        <v>87.99</v>
      </c>
      <c r="J6" s="27">
        <f t="shared" si="0"/>
        <v>54.86</v>
      </c>
      <c r="K6" s="30" t="s">
        <v>52</v>
      </c>
      <c r="L6" s="27">
        <v>26.8</v>
      </c>
      <c r="M6" s="27">
        <v>6.5</v>
      </c>
      <c r="N6" s="27">
        <v>0.158</v>
      </c>
      <c r="O6" s="27">
        <v>4.7300000000000004</v>
      </c>
      <c r="P6" s="32">
        <f>L6/10^6*C6/$A$27*$A$31</f>
        <v>0.15488388900290798</v>
      </c>
      <c r="Q6" s="51">
        <f>C6/$A$27*(L6/$A$41+M6/$A$42+N6/$A$43)/10^6*$A$31</f>
        <v>1.5883508860975856E-3</v>
      </c>
      <c r="R6" s="32">
        <f>O6/10^6*C6/$A$27*$A$31</f>
        <v>2.7335850559095327E-2</v>
      </c>
      <c r="S6" s="34"/>
      <c r="T6" s="34"/>
      <c r="U6" s="35"/>
    </row>
    <row r="7" spans="1:22" x14ac:dyDescent="0.2">
      <c r="A7" s="43" t="s">
        <v>49</v>
      </c>
      <c r="B7" s="65"/>
      <c r="C7" s="44"/>
      <c r="D7" s="44"/>
      <c r="E7" s="45"/>
      <c r="F7" s="44"/>
      <c r="G7" s="44"/>
      <c r="H7" s="44"/>
      <c r="I7" s="44"/>
      <c r="J7" s="44"/>
      <c r="K7" s="44"/>
      <c r="L7" s="44"/>
      <c r="M7" s="44"/>
      <c r="N7" s="44"/>
      <c r="O7" s="44"/>
      <c r="P7" s="46"/>
      <c r="Q7" s="46"/>
      <c r="R7" s="46"/>
      <c r="S7" s="46"/>
      <c r="T7" s="46"/>
      <c r="U7" s="47"/>
    </row>
    <row r="8" spans="1:22" x14ac:dyDescent="0.2">
      <c r="A8" s="22" t="s">
        <v>7</v>
      </c>
      <c r="B8" s="63">
        <v>44046</v>
      </c>
      <c r="C8" s="14">
        <v>112</v>
      </c>
      <c r="D8" s="14">
        <v>75</v>
      </c>
      <c r="E8" s="16">
        <v>145.38</v>
      </c>
      <c r="F8" s="14">
        <v>3</v>
      </c>
      <c r="G8" s="14">
        <v>54.2</v>
      </c>
      <c r="H8" s="14">
        <v>64.2</v>
      </c>
      <c r="I8" s="14">
        <v>85.72</v>
      </c>
      <c r="J8" s="14">
        <f t="shared" ref="J8:J11" si="1">(E8-F8)-I8</f>
        <v>56.66</v>
      </c>
      <c r="K8" s="14">
        <f t="shared" ref="K8" si="2">D8-J8</f>
        <v>18.340000000000003</v>
      </c>
      <c r="L8" s="19">
        <v>2.08</v>
      </c>
      <c r="M8" s="19">
        <v>1.08</v>
      </c>
      <c r="N8" s="19">
        <v>0.05</v>
      </c>
      <c r="O8" s="19">
        <v>0.12</v>
      </c>
      <c r="P8" s="17">
        <f>L8/10^6*C8/$A$27*$A$35</f>
        <v>1.0642481413376413E-2</v>
      </c>
      <c r="Q8" s="18">
        <f>C8/$A$27*(L8/$A$41+M8/$A$42+N8/$A$43)/10^6*$A$35</f>
        <v>1.4292808642187257E-4</v>
      </c>
      <c r="R8" s="17">
        <f>O8/10^6*C8/$A$27*$A$35</f>
        <v>6.1398931231017762E-4</v>
      </c>
      <c r="S8" s="17">
        <f>SUM(P8:P11)</f>
        <v>0.1458923577784168</v>
      </c>
      <c r="T8" s="18">
        <f>SUM(Q8:Q11)</f>
        <v>1.6901552364208241E-3</v>
      </c>
      <c r="U8" s="23">
        <f>SUM(R8:R11)</f>
        <v>1.0952673930533117E-2</v>
      </c>
    </row>
    <row r="9" spans="1:22" x14ac:dyDescent="0.2">
      <c r="A9" s="22" t="s">
        <v>8</v>
      </c>
      <c r="B9" s="68">
        <v>44047</v>
      </c>
      <c r="C9" s="14">
        <v>25</v>
      </c>
      <c r="D9" s="14">
        <v>71.5</v>
      </c>
      <c r="E9" s="20">
        <v>143.28</v>
      </c>
      <c r="F9" s="14">
        <v>3</v>
      </c>
      <c r="G9" s="14">
        <v>53</v>
      </c>
      <c r="H9" s="14">
        <v>68</v>
      </c>
      <c r="I9" s="21">
        <v>86.75</v>
      </c>
      <c r="J9" s="16">
        <f>(E9-F9)-I9</f>
        <v>53.53</v>
      </c>
      <c r="K9" s="16">
        <f>D9-J9</f>
        <v>17.97</v>
      </c>
      <c r="L9" s="19">
        <v>35.200000000000003</v>
      </c>
      <c r="M9" s="19">
        <v>9.5299999999999994</v>
      </c>
      <c r="N9" s="19">
        <v>4.38</v>
      </c>
      <c r="O9" s="19">
        <v>3.67</v>
      </c>
      <c r="P9" s="17">
        <f>L9/10^6*C9/$A$27*$A$35</f>
        <v>4.02016811631664E-2</v>
      </c>
      <c r="Q9" s="18">
        <f>C9/$A$27*(L9/$A$41+M9/$A$42+N9/$A$43)/10^6*$A$35</f>
        <v>5.0094296687056862E-4</v>
      </c>
      <c r="R9" s="17">
        <f>O9/10^6*C9/$A$27*$A$35</f>
        <v>4.1914820985460418E-3</v>
      </c>
      <c r="S9" s="12"/>
      <c r="T9" s="12"/>
      <c r="U9" s="24"/>
    </row>
    <row r="10" spans="1:22" x14ac:dyDescent="0.2">
      <c r="A10" s="22" t="s">
        <v>9</v>
      </c>
      <c r="B10" s="63">
        <v>44047</v>
      </c>
      <c r="C10" s="14">
        <v>44</v>
      </c>
      <c r="D10" s="14"/>
      <c r="E10" s="16">
        <v>143.28</v>
      </c>
      <c r="F10" s="14">
        <v>3</v>
      </c>
      <c r="G10" s="14">
        <v>54</v>
      </c>
      <c r="H10" s="14">
        <v>69</v>
      </c>
      <c r="I10" s="14">
        <v>87.66</v>
      </c>
      <c r="J10" s="14">
        <f t="shared" si="1"/>
        <v>52.620000000000005</v>
      </c>
      <c r="K10" s="15" t="s">
        <v>52</v>
      </c>
      <c r="L10" s="19">
        <v>45.2</v>
      </c>
      <c r="M10" s="19">
        <v>13.1</v>
      </c>
      <c r="N10" s="19">
        <v>0.34100000000000003</v>
      </c>
      <c r="O10" s="19">
        <v>2.87</v>
      </c>
      <c r="P10" s="17">
        <f>L10/10^6*C10/$A$27*$A$35</f>
        <v>9.0855799428756073E-2</v>
      </c>
      <c r="Q10" s="18">
        <f>C10/$A$27*(L10/$A$41+M10/$A$42+N10/$A$43)/10^6*$A$35</f>
        <v>9.7890390358625697E-4</v>
      </c>
      <c r="R10" s="17">
        <f>O10/10^6*C10/$A$27*$A$35</f>
        <v>5.7689412469143784E-3</v>
      </c>
      <c r="S10" s="12"/>
      <c r="T10" s="12"/>
      <c r="U10" s="24"/>
    </row>
    <row r="11" spans="1:22" ht="13.5" thickBot="1" x14ac:dyDescent="0.25">
      <c r="A11" s="26" t="s">
        <v>10</v>
      </c>
      <c r="B11" s="69">
        <v>44046</v>
      </c>
      <c r="C11" s="27">
        <v>69</v>
      </c>
      <c r="D11" s="27"/>
      <c r="E11" s="42">
        <v>143.52000000000001</v>
      </c>
      <c r="F11" s="27">
        <v>3</v>
      </c>
      <c r="G11" s="27">
        <v>53.13</v>
      </c>
      <c r="H11" s="27">
        <v>63.68</v>
      </c>
      <c r="I11" s="27">
        <v>88.63</v>
      </c>
      <c r="J11" s="27">
        <f t="shared" si="1"/>
        <v>51.890000000000015</v>
      </c>
      <c r="K11" s="30" t="s">
        <v>52</v>
      </c>
      <c r="L11" s="29">
        <v>1.33</v>
      </c>
      <c r="M11" s="29">
        <v>1</v>
      </c>
      <c r="N11" s="29">
        <v>0.05</v>
      </c>
      <c r="O11" s="29">
        <v>0.12</v>
      </c>
      <c r="P11" s="32">
        <f>L11/10^6*C11/$A$27*$A$35</f>
        <v>4.1923957731179323E-3</v>
      </c>
      <c r="Q11" s="33">
        <f>C11/$A$27*(L11/$A$41+M11/$A$42+N11/$A$43)/10^6*$A$35</f>
        <v>6.738027954212596E-5</v>
      </c>
      <c r="R11" s="32">
        <f>O11/10^6*C11/$A$27*$A$35</f>
        <v>3.7826127276252016E-4</v>
      </c>
      <c r="S11" s="34"/>
      <c r="T11" s="34"/>
      <c r="U11" s="35"/>
    </row>
    <row r="12" spans="1:22" x14ac:dyDescent="0.2">
      <c r="A12" s="25" t="s">
        <v>50</v>
      </c>
      <c r="B12" s="66"/>
      <c r="C12" s="10"/>
      <c r="D12" s="10"/>
      <c r="E12" s="11"/>
      <c r="F12" s="10"/>
      <c r="G12" s="10"/>
      <c r="H12" s="10"/>
      <c r="I12" s="10"/>
      <c r="J12" s="10"/>
      <c r="K12" s="10"/>
      <c r="L12" s="13"/>
      <c r="M12" s="13"/>
      <c r="N12" s="13"/>
      <c r="O12" s="13"/>
      <c r="P12" s="12"/>
      <c r="Q12" s="12"/>
      <c r="R12" s="12"/>
      <c r="S12" s="12"/>
      <c r="T12" s="12"/>
      <c r="U12" s="24"/>
    </row>
    <row r="13" spans="1:22" x14ac:dyDescent="0.2">
      <c r="A13" s="22" t="s">
        <v>11</v>
      </c>
      <c r="B13" s="63">
        <v>44047</v>
      </c>
      <c r="C13" s="14">
        <v>139</v>
      </c>
      <c r="D13" s="14">
        <v>68.5</v>
      </c>
      <c r="E13" s="16">
        <v>143.26</v>
      </c>
      <c r="F13" s="14">
        <v>3</v>
      </c>
      <c r="G13" s="14">
        <v>64.5</v>
      </c>
      <c r="H13" s="14">
        <v>67.5</v>
      </c>
      <c r="I13" s="14">
        <v>87.33</v>
      </c>
      <c r="J13" s="14">
        <f t="shared" ref="J13:J15" si="3">(E13-F13)-I13</f>
        <v>52.929999999999993</v>
      </c>
      <c r="K13" s="14">
        <f>D13-J13</f>
        <v>15.570000000000007</v>
      </c>
      <c r="L13" s="19">
        <v>4.04</v>
      </c>
      <c r="M13" s="19">
        <v>1.19</v>
      </c>
      <c r="N13" s="19">
        <v>0.05</v>
      </c>
      <c r="O13" s="19">
        <v>0.59599999999999997</v>
      </c>
      <c r="P13" s="17">
        <f>L13/10^6*C13/$A$27*$A$39</f>
        <v>2.2001387363360266E-2</v>
      </c>
      <c r="Q13" s="18">
        <f>C13/$A$27*(L13/$A$41+M13/$A$42+N13/$A$43)/10^6*$A$39</f>
        <v>2.3984768650712053E-4</v>
      </c>
      <c r="R13" s="17">
        <f>O13/10^6*C13/$A$27*$A$39</f>
        <v>3.2457492248917619E-3</v>
      </c>
      <c r="S13" s="17">
        <f>SUM(P13:P15)</f>
        <v>2.4808566301647825E-2</v>
      </c>
      <c r="T13" s="18">
        <f>SUM(Q13:Q15)</f>
        <v>5.207303137217741E-4</v>
      </c>
      <c r="U13" s="23">
        <f>SUM(R13:R15)</f>
        <v>6.9516563929822323E-3</v>
      </c>
      <c r="V13" s="52"/>
    </row>
    <row r="14" spans="1:22" x14ac:dyDescent="0.2">
      <c r="A14" s="22" t="s">
        <v>12</v>
      </c>
      <c r="B14" s="63">
        <v>44046</v>
      </c>
      <c r="C14" s="14">
        <v>73</v>
      </c>
      <c r="D14" s="14"/>
      <c r="E14" s="16">
        <v>143.33000000000001</v>
      </c>
      <c r="F14" s="14">
        <v>3</v>
      </c>
      <c r="G14" s="14">
        <v>53.13</v>
      </c>
      <c r="H14" s="14">
        <v>63.68</v>
      </c>
      <c r="I14" s="14">
        <v>87.17</v>
      </c>
      <c r="J14" s="14">
        <f t="shared" si="3"/>
        <v>53.160000000000011</v>
      </c>
      <c r="K14" s="15" t="s">
        <v>52</v>
      </c>
      <c r="L14" s="19">
        <v>0.31</v>
      </c>
      <c r="M14" s="19">
        <v>1.92</v>
      </c>
      <c r="N14" s="19">
        <v>2.12</v>
      </c>
      <c r="O14" s="19">
        <v>0.82099999999999995</v>
      </c>
      <c r="P14" s="17">
        <f>L14/10^6*C14/$A$27*$A$39</f>
        <v>8.8662190332794856E-4</v>
      </c>
      <c r="Q14" s="18">
        <f>C14/$A$27*(L14/$A$41+M14/$A$42+N14/$A$43)/10^6*$A$39</f>
        <v>1.6176548361312288E-4</v>
      </c>
      <c r="R14" s="17">
        <f>O14/10^6*C14/$A$27*$A$39</f>
        <v>2.3481180084911155E-3</v>
      </c>
      <c r="S14" s="12"/>
      <c r="T14" s="12"/>
      <c r="U14" s="24"/>
    </row>
    <row r="15" spans="1:22" ht="13.5" thickBot="1" x14ac:dyDescent="0.25">
      <c r="A15" s="26" t="s">
        <v>13</v>
      </c>
      <c r="B15" s="69">
        <v>44047</v>
      </c>
      <c r="C15" s="27">
        <v>38</v>
      </c>
      <c r="D15" s="27"/>
      <c r="E15" s="28">
        <v>141.13999999999999</v>
      </c>
      <c r="F15" s="27">
        <v>3</v>
      </c>
      <c r="G15" s="27">
        <v>49.26</v>
      </c>
      <c r="H15" s="27">
        <v>64.86</v>
      </c>
      <c r="I15" s="29">
        <v>84.059999999999988</v>
      </c>
      <c r="J15" s="27">
        <f t="shared" si="3"/>
        <v>54.08</v>
      </c>
      <c r="K15" s="30" t="s">
        <v>52</v>
      </c>
      <c r="L15" s="29">
        <v>1.29</v>
      </c>
      <c r="M15" s="31" t="s">
        <v>52</v>
      </c>
      <c r="N15" s="29">
        <v>3.11</v>
      </c>
      <c r="O15" s="29">
        <v>0.91200000000000003</v>
      </c>
      <c r="P15" s="32">
        <f>L15/10^6*C15/$A$27*$A$39</f>
        <v>1.9205570349596127E-3</v>
      </c>
      <c r="Q15" s="33">
        <f>C15/$A$27*(L15/$A$41+M14/$A$42+N15/$A$43)/10^6*$A$39</f>
        <v>1.1911714360153066E-4</v>
      </c>
      <c r="R15" s="32">
        <f>O15/10^6*C15/$A$27*$A$39</f>
        <v>1.3577891595993544E-3</v>
      </c>
      <c r="S15" s="34"/>
      <c r="T15" s="34"/>
      <c r="U15" s="35"/>
    </row>
    <row r="16" spans="1:22" x14ac:dyDescent="0.2">
      <c r="L16" s="5"/>
    </row>
    <row r="17" spans="1:12" x14ac:dyDescent="0.2">
      <c r="A17" s="3"/>
      <c r="B17" s="1" t="s">
        <v>14</v>
      </c>
      <c r="L17" s="5"/>
    </row>
    <row r="18" spans="1:12" x14ac:dyDescent="0.2">
      <c r="A18" s="4"/>
      <c r="B18" s="1" t="s">
        <v>51</v>
      </c>
      <c r="L18" s="5"/>
    </row>
    <row r="19" spans="1:12" x14ac:dyDescent="0.2">
      <c r="B19" s="1" t="s">
        <v>15</v>
      </c>
      <c r="L19" s="5"/>
    </row>
    <row r="20" spans="1:12" x14ac:dyDescent="0.2">
      <c r="B20" s="1" t="s">
        <v>17</v>
      </c>
    </row>
    <row r="21" spans="1:12" x14ac:dyDescent="0.2">
      <c r="B21" s="1" t="s">
        <v>18</v>
      </c>
    </row>
    <row r="22" spans="1:12" x14ac:dyDescent="0.2">
      <c r="B22" s="1" t="s">
        <v>46</v>
      </c>
    </row>
    <row r="25" spans="1:12" x14ac:dyDescent="0.2">
      <c r="A25" s="6">
        <f t="shared" ref="A25" si="4">1/619</f>
        <v>1.6155088852988692E-3</v>
      </c>
      <c r="B25" s="1" t="s">
        <v>28</v>
      </c>
      <c r="C25" s="1" t="s">
        <v>29</v>
      </c>
    </row>
    <row r="26" spans="1:12" x14ac:dyDescent="0.2">
      <c r="A26" s="1">
        <v>55</v>
      </c>
      <c r="B26" s="1" t="s">
        <v>27</v>
      </c>
      <c r="C26" s="1" t="s">
        <v>26</v>
      </c>
    </row>
    <row r="27" spans="1:12" x14ac:dyDescent="0.2">
      <c r="A27" s="1">
        <v>250</v>
      </c>
      <c r="B27" s="1" t="s">
        <v>30</v>
      </c>
      <c r="C27" s="1" t="s">
        <v>31</v>
      </c>
    </row>
    <row r="29" spans="1:12" x14ac:dyDescent="0.2">
      <c r="A29" s="9" t="s">
        <v>48</v>
      </c>
    </row>
    <row r="30" spans="1:12" x14ac:dyDescent="0.2">
      <c r="A30" s="1">
        <f>K5</f>
        <v>19.63000000000001</v>
      </c>
      <c r="B30" s="1" t="s">
        <v>30</v>
      </c>
      <c r="C30" s="1" t="s">
        <v>32</v>
      </c>
    </row>
    <row r="31" spans="1:12" x14ac:dyDescent="0.2">
      <c r="A31" s="7">
        <f>$A$26*$A$25*$A$27*A30*28.32</f>
        <v>12348.823909531508</v>
      </c>
      <c r="B31" s="1" t="s">
        <v>34</v>
      </c>
      <c r="C31" s="1" t="s">
        <v>35</v>
      </c>
    </row>
    <row r="33" spans="1:3" x14ac:dyDescent="0.2">
      <c r="A33" s="9" t="s">
        <v>49</v>
      </c>
    </row>
    <row r="34" spans="1:3" x14ac:dyDescent="0.2">
      <c r="A34" s="8">
        <f>AVERAGE(K8:K9)</f>
        <v>18.155000000000001</v>
      </c>
      <c r="B34" s="1" t="s">
        <v>30</v>
      </c>
      <c r="C34" s="1" t="s">
        <v>32</v>
      </c>
    </row>
    <row r="35" spans="1:3" x14ac:dyDescent="0.2">
      <c r="A35" s="7">
        <f>$A$26*$A$25*$A$27*A34*28.32</f>
        <v>11420.932148626818</v>
      </c>
      <c r="B35" s="1" t="s">
        <v>34</v>
      </c>
      <c r="C35" s="1" t="s">
        <v>35</v>
      </c>
    </row>
    <row r="37" spans="1:3" x14ac:dyDescent="0.2">
      <c r="A37" s="9" t="s">
        <v>50</v>
      </c>
    </row>
    <row r="38" spans="1:3" x14ac:dyDescent="0.2">
      <c r="A38" s="8">
        <f>K13</f>
        <v>15.570000000000007</v>
      </c>
      <c r="B38" s="1" t="s">
        <v>30</v>
      </c>
      <c r="C38" s="1" t="s">
        <v>32</v>
      </c>
    </row>
    <row r="39" spans="1:3" x14ac:dyDescent="0.2">
      <c r="A39" s="7">
        <f>$A$26*$A$25*$A$27*A38*28.32</f>
        <v>9794.7625201938645</v>
      </c>
      <c r="B39" s="1" t="s">
        <v>34</v>
      </c>
      <c r="C39" s="1" t="s">
        <v>35</v>
      </c>
    </row>
    <row r="40" spans="1:3" x14ac:dyDescent="0.2">
      <c r="A40" s="7"/>
    </row>
    <row r="41" spans="1:3" x14ac:dyDescent="0.2">
      <c r="A41" s="1">
        <v>131</v>
      </c>
      <c r="B41" s="1" t="s">
        <v>40</v>
      </c>
      <c r="C41" s="1" t="s">
        <v>42</v>
      </c>
    </row>
    <row r="42" spans="1:3" x14ac:dyDescent="0.2">
      <c r="A42" s="1">
        <v>96</v>
      </c>
      <c r="B42" s="1" t="s">
        <v>40</v>
      </c>
      <c r="C42" s="1" t="s">
        <v>43</v>
      </c>
    </row>
    <row r="43" spans="1:3" x14ac:dyDescent="0.2">
      <c r="A43" s="1">
        <v>62</v>
      </c>
      <c r="B43" s="1" t="s">
        <v>40</v>
      </c>
      <c r="C43" s="1" t="s">
        <v>44</v>
      </c>
    </row>
  </sheetData>
  <mergeCells count="1">
    <mergeCell ref="S1:U1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workbookViewId="0">
      <pane xSplit="3" ySplit="2" topLeftCell="H3" activePane="bottomRight" state="frozen"/>
      <selection pane="topRight" activeCell="C1" sqref="C1"/>
      <selection pane="bottomLeft" activeCell="A3" sqref="A3"/>
      <selection pane="bottomRight" activeCell="M11" sqref="M11"/>
    </sheetView>
  </sheetViews>
  <sheetFormatPr defaultRowHeight="12.75" x14ac:dyDescent="0.2"/>
  <cols>
    <col min="1" max="2" width="9.140625" style="1"/>
    <col min="3" max="6" width="9.140625" style="1" customWidth="1"/>
    <col min="7" max="9" width="11.85546875" style="1" customWidth="1"/>
    <col min="10" max="13" width="14.28515625" style="1" customWidth="1"/>
    <col min="14" max="15" width="13.42578125" style="1" customWidth="1"/>
    <col min="16" max="16" width="11.5703125" style="1" customWidth="1"/>
    <col min="17" max="17" width="14.85546875" style="1" customWidth="1"/>
    <col min="18" max="18" width="9.140625" style="1"/>
    <col min="19" max="20" width="11.85546875" style="1" customWidth="1"/>
    <col min="21" max="16384" width="9.140625" style="1"/>
  </cols>
  <sheetData>
    <row r="1" spans="1:22" ht="13.5" thickBot="1" x14ac:dyDescent="0.25">
      <c r="A1" s="1" t="s">
        <v>22</v>
      </c>
      <c r="S1" s="48" t="s">
        <v>38</v>
      </c>
      <c r="T1" s="49"/>
      <c r="U1" s="50"/>
    </row>
    <row r="2" spans="1:22" s="2" customFormat="1" ht="51.75" thickBot="1" x14ac:dyDescent="0.25">
      <c r="A2" s="36" t="s">
        <v>0</v>
      </c>
      <c r="B2" s="61" t="s">
        <v>53</v>
      </c>
      <c r="C2" s="37" t="s">
        <v>36</v>
      </c>
      <c r="D2" s="37" t="s">
        <v>47</v>
      </c>
      <c r="E2" s="37" t="s">
        <v>2</v>
      </c>
      <c r="F2" s="37" t="s">
        <v>3</v>
      </c>
      <c r="G2" s="37" t="s">
        <v>16</v>
      </c>
      <c r="H2" s="37" t="s">
        <v>1</v>
      </c>
      <c r="I2" s="37" t="s">
        <v>23</v>
      </c>
      <c r="J2" s="37" t="s">
        <v>24</v>
      </c>
      <c r="K2" s="37" t="s">
        <v>25</v>
      </c>
      <c r="L2" s="37" t="s">
        <v>19</v>
      </c>
      <c r="M2" s="37" t="s">
        <v>41</v>
      </c>
      <c r="N2" s="37" t="s">
        <v>21</v>
      </c>
      <c r="O2" s="37" t="s">
        <v>20</v>
      </c>
      <c r="P2" s="37" t="s">
        <v>33</v>
      </c>
      <c r="Q2" s="37" t="s">
        <v>45</v>
      </c>
      <c r="R2" s="37" t="s">
        <v>37</v>
      </c>
      <c r="S2" s="37" t="s">
        <v>33</v>
      </c>
      <c r="T2" s="37" t="s">
        <v>39</v>
      </c>
      <c r="U2" s="38" t="s">
        <v>37</v>
      </c>
    </row>
    <row r="3" spans="1:22" s="2" customFormat="1" x14ac:dyDescent="0.2">
      <c r="A3" s="39" t="s">
        <v>48</v>
      </c>
      <c r="B3" s="62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1"/>
    </row>
    <row r="4" spans="1:22" x14ac:dyDescent="0.2">
      <c r="A4" s="22" t="s">
        <v>4</v>
      </c>
      <c r="B4" s="63">
        <v>42990</v>
      </c>
      <c r="C4" s="14">
        <f>64+69/2</f>
        <v>98.5</v>
      </c>
      <c r="D4" s="15" t="s">
        <v>52</v>
      </c>
      <c r="E4" s="16">
        <v>147.19999999999999</v>
      </c>
      <c r="F4" s="14">
        <v>3</v>
      </c>
      <c r="G4" s="14">
        <v>52.8</v>
      </c>
      <c r="H4" s="14">
        <v>63.1</v>
      </c>
      <c r="I4" s="16">
        <v>86.7</v>
      </c>
      <c r="J4" s="14">
        <f>(E4-F4)-I4</f>
        <v>57.499999999999986</v>
      </c>
      <c r="K4" s="15" t="s">
        <v>52</v>
      </c>
      <c r="L4" s="14">
        <v>1.1399999999999999</v>
      </c>
      <c r="M4" s="15" t="s">
        <v>52</v>
      </c>
      <c r="N4" s="14">
        <v>0.05</v>
      </c>
      <c r="O4" s="14">
        <v>4.38</v>
      </c>
      <c r="P4" s="17">
        <f>L4/10^6*C4/$A$28*$A$32</f>
        <v>4.6621937253634926E-3</v>
      </c>
      <c r="Q4" s="18">
        <f>C4/$A$28*(L4/$A$42+M6/$A$43+N4/$A$44)/10^6*$A$32</f>
        <v>1.466665143071841E-4</v>
      </c>
      <c r="R4" s="17">
        <f>O4/10^6*C4/$A$28*$A$32</f>
        <v>1.7912639050080788E-2</v>
      </c>
      <c r="S4" s="17">
        <f>SUM(P4:P6)</f>
        <v>9.1466436504038851E-2</v>
      </c>
      <c r="T4" s="18">
        <f>SUM(Q4:Q6)</f>
        <v>1.0150392814690878E-3</v>
      </c>
      <c r="U4" s="23">
        <f>SUM(R4:R6)</f>
        <v>5.0747287405492766E-2</v>
      </c>
    </row>
    <row r="5" spans="1:22" x14ac:dyDescent="0.2">
      <c r="A5" s="22" t="s">
        <v>5</v>
      </c>
      <c r="B5" s="68" t="s">
        <v>52</v>
      </c>
      <c r="C5" s="14"/>
      <c r="D5" s="14">
        <v>74</v>
      </c>
      <c r="E5" s="16">
        <v>145.38999999999999</v>
      </c>
      <c r="F5" s="14">
        <v>3</v>
      </c>
      <c r="G5" s="14">
        <v>47</v>
      </c>
      <c r="H5" s="14">
        <v>67</v>
      </c>
      <c r="I5" s="53" t="s">
        <v>52</v>
      </c>
      <c r="J5" s="15" t="s">
        <v>52</v>
      </c>
      <c r="K5" s="15" t="s">
        <v>52</v>
      </c>
      <c r="L5" s="15" t="s">
        <v>52</v>
      </c>
      <c r="M5" s="15" t="s">
        <v>52</v>
      </c>
      <c r="N5" s="15" t="s">
        <v>52</v>
      </c>
      <c r="O5" s="15" t="s">
        <v>52</v>
      </c>
      <c r="P5" s="57" t="s">
        <v>52</v>
      </c>
      <c r="Q5" s="58" t="s">
        <v>52</v>
      </c>
      <c r="R5" s="57" t="s">
        <v>52</v>
      </c>
      <c r="S5" s="12"/>
      <c r="T5" s="12"/>
      <c r="U5" s="24"/>
    </row>
    <row r="6" spans="1:22" ht="13.5" thickBot="1" x14ac:dyDescent="0.25">
      <c r="A6" s="26" t="s">
        <v>6</v>
      </c>
      <c r="B6" s="64">
        <v>42789</v>
      </c>
      <c r="C6" s="27">
        <f>117+69/2</f>
        <v>151.5</v>
      </c>
      <c r="D6" s="30" t="s">
        <v>52</v>
      </c>
      <c r="E6" s="42">
        <v>145.85</v>
      </c>
      <c r="F6" s="27">
        <v>3</v>
      </c>
      <c r="G6" s="27">
        <v>52.8</v>
      </c>
      <c r="H6" s="27">
        <v>63.1</v>
      </c>
      <c r="I6" s="54" t="s">
        <v>52</v>
      </c>
      <c r="J6" s="30" t="s">
        <v>52</v>
      </c>
      <c r="K6" s="30" t="s">
        <v>52</v>
      </c>
      <c r="L6" s="27">
        <v>13.8</v>
      </c>
      <c r="M6" s="27">
        <v>2.5299999999999998</v>
      </c>
      <c r="N6" s="27">
        <v>0.39400000000000002</v>
      </c>
      <c r="O6" s="27">
        <v>5.22</v>
      </c>
      <c r="P6" s="32">
        <f>L6/10^6*C6/$A$28*$A$32</f>
        <v>8.6804242778675364E-2</v>
      </c>
      <c r="Q6" s="51">
        <f>C6/$A$28*(L6/$A$42+M6/$A$43+N6/$A$44)/10^6*$A$32</f>
        <v>8.6837276716190362E-4</v>
      </c>
      <c r="R6" s="32">
        <f>O6/10^6*C6/$A$28*$A$32</f>
        <v>3.2834648355411979E-2</v>
      </c>
      <c r="S6" s="34"/>
      <c r="T6" s="34"/>
      <c r="U6" s="35"/>
    </row>
    <row r="7" spans="1:22" x14ac:dyDescent="0.2">
      <c r="A7" s="43" t="s">
        <v>49</v>
      </c>
      <c r="B7" s="65"/>
      <c r="C7" s="44"/>
      <c r="D7" s="44"/>
      <c r="E7" s="45"/>
      <c r="F7" s="44"/>
      <c r="G7" s="44"/>
      <c r="H7" s="44"/>
      <c r="I7" s="45"/>
      <c r="J7" s="44"/>
      <c r="K7" s="44"/>
      <c r="L7" s="44"/>
      <c r="M7" s="44"/>
      <c r="N7" s="44"/>
      <c r="O7" s="44"/>
      <c r="P7" s="46"/>
      <c r="Q7" s="46"/>
      <c r="R7" s="46"/>
      <c r="S7" s="46"/>
      <c r="T7" s="46"/>
      <c r="U7" s="47"/>
    </row>
    <row r="8" spans="1:22" x14ac:dyDescent="0.2">
      <c r="A8" s="22" t="s">
        <v>7</v>
      </c>
      <c r="B8" s="63">
        <v>42789</v>
      </c>
      <c r="C8" s="14">
        <v>112</v>
      </c>
      <c r="D8" s="14">
        <v>75</v>
      </c>
      <c r="E8" s="16">
        <v>145.38</v>
      </c>
      <c r="F8" s="14">
        <v>3</v>
      </c>
      <c r="G8" s="14">
        <v>54.2</v>
      </c>
      <c r="H8" s="14">
        <v>64.2</v>
      </c>
      <c r="I8" s="16">
        <v>85.74</v>
      </c>
      <c r="J8" s="14">
        <f t="shared" ref="J8:J11" si="0">(E8-F8)-I8</f>
        <v>56.64</v>
      </c>
      <c r="K8" s="14">
        <f t="shared" ref="K8:K10" si="1">D8-J8</f>
        <v>18.36</v>
      </c>
      <c r="L8" s="19">
        <v>1.34</v>
      </c>
      <c r="M8" s="19">
        <v>1</v>
      </c>
      <c r="N8" s="19">
        <v>0.15</v>
      </c>
      <c r="O8" s="19">
        <v>0.4</v>
      </c>
      <c r="P8" s="17">
        <f>L8/10^6*C8/$A$28*$A$36</f>
        <v>6.9336319917285942E-3</v>
      </c>
      <c r="Q8" s="18">
        <f>C8/$A$28*(L8/$A$42+M8/$A$43+N8/$A$44)/10^6*$A$36</f>
        <v>1.1934658502095069E-4</v>
      </c>
      <c r="R8" s="17">
        <f>O8/10^6*C8/$A$28*$A$36</f>
        <v>2.0697408930533119E-3</v>
      </c>
      <c r="S8" s="17">
        <f>SUM(P8:P11)</f>
        <v>9.4042927836639742E-2</v>
      </c>
      <c r="T8" s="18">
        <f>SUM(Q8:Q11)</f>
        <v>9.9788217986015049E-4</v>
      </c>
      <c r="U8" s="23">
        <f>SUM(R8:R11)</f>
        <v>8.3579648429079161E-3</v>
      </c>
    </row>
    <row r="9" spans="1:22" x14ac:dyDescent="0.2">
      <c r="A9" s="22" t="s">
        <v>8</v>
      </c>
      <c r="B9" s="68">
        <v>42990</v>
      </c>
      <c r="C9" s="14">
        <v>25</v>
      </c>
      <c r="D9" s="14">
        <v>71.5</v>
      </c>
      <c r="E9" s="20">
        <v>143.28</v>
      </c>
      <c r="F9" s="14">
        <v>3</v>
      </c>
      <c r="G9" s="14">
        <v>53</v>
      </c>
      <c r="H9" s="14">
        <v>68</v>
      </c>
      <c r="I9" s="55" t="s">
        <v>52</v>
      </c>
      <c r="J9" s="53" t="s">
        <v>52</v>
      </c>
      <c r="K9" s="53" t="s">
        <v>52</v>
      </c>
      <c r="L9" s="19">
        <v>22.5</v>
      </c>
      <c r="M9" s="19">
        <v>4.3600000000000003</v>
      </c>
      <c r="N9" s="19">
        <v>0.23</v>
      </c>
      <c r="O9" s="19">
        <v>0.75</v>
      </c>
      <c r="P9" s="17">
        <f>L9/10^6*C9/$A$28*$A$36</f>
        <v>2.5987260096930531E-2</v>
      </c>
      <c r="Q9" s="18">
        <f>C9/$A$28*(L9/$A$42+M9/$A$43+N9/$A$44)/10^6*$A$36</f>
        <v>2.5511643489093425E-4</v>
      </c>
      <c r="R9" s="17">
        <f>O9/10^6*C9/$A$28*$A$36</f>
        <v>8.6624200323101781E-4</v>
      </c>
      <c r="S9" s="12"/>
      <c r="T9" s="12"/>
      <c r="U9" s="24"/>
    </row>
    <row r="10" spans="1:22" x14ac:dyDescent="0.2">
      <c r="A10" s="22" t="s">
        <v>9</v>
      </c>
      <c r="B10" s="63">
        <v>42789</v>
      </c>
      <c r="C10" s="14">
        <v>44</v>
      </c>
      <c r="D10" s="14"/>
      <c r="E10" s="16">
        <v>143.28</v>
      </c>
      <c r="F10" s="14">
        <v>3</v>
      </c>
      <c r="G10" s="14">
        <v>54</v>
      </c>
      <c r="H10" s="14">
        <v>69</v>
      </c>
      <c r="I10" s="16">
        <v>85.28</v>
      </c>
      <c r="J10" s="14">
        <f t="shared" si="0"/>
        <v>55</v>
      </c>
      <c r="K10" s="15" t="s">
        <v>52</v>
      </c>
      <c r="L10" s="19">
        <v>28.5</v>
      </c>
      <c r="M10" s="19">
        <v>4.9000000000000004</v>
      </c>
      <c r="N10" s="19">
        <v>0.371</v>
      </c>
      <c r="O10" s="19">
        <v>2.04</v>
      </c>
      <c r="P10" s="17">
        <f>L10/10^6*C10/$A$28*$A$36</f>
        <v>5.7934265176090474E-2</v>
      </c>
      <c r="Q10" s="18">
        <f>C10/$A$28*(L10/$A$42+M10/$A$43+N10/$A$44)/10^6*$A$36</f>
        <v>5.5816674183029958E-4</v>
      </c>
      <c r="R10" s="17">
        <f>O10/10^6*C10/$A$28*$A$36</f>
        <v>4.1468737178675273E-3</v>
      </c>
      <c r="S10" s="12"/>
      <c r="T10" s="12"/>
      <c r="U10" s="24"/>
    </row>
    <row r="11" spans="1:22" ht="13.5" thickBot="1" x14ac:dyDescent="0.25">
      <c r="A11" s="26" t="s">
        <v>10</v>
      </c>
      <c r="B11" s="69">
        <v>42789</v>
      </c>
      <c r="C11" s="27">
        <v>69</v>
      </c>
      <c r="D11" s="27"/>
      <c r="E11" s="42">
        <v>143.52000000000001</v>
      </c>
      <c r="F11" s="27">
        <v>3</v>
      </c>
      <c r="G11" s="27">
        <v>53.13</v>
      </c>
      <c r="H11" s="27">
        <v>63.68</v>
      </c>
      <c r="I11" s="54" t="s">
        <v>52</v>
      </c>
      <c r="J11" s="30" t="s">
        <v>52</v>
      </c>
      <c r="K11" s="30" t="s">
        <v>52</v>
      </c>
      <c r="L11" s="29">
        <v>1</v>
      </c>
      <c r="M11" s="29">
        <v>1</v>
      </c>
      <c r="N11" s="29">
        <v>0.15</v>
      </c>
      <c r="O11" s="29">
        <v>0.4</v>
      </c>
      <c r="P11" s="32">
        <f>L11/10^6*C11/$A$28*$A$36</f>
        <v>3.187770571890145E-3</v>
      </c>
      <c r="Q11" s="33">
        <f>C11/$A$28*(L11/$A$42+M11/$A$43+N11/$A$44)/10^6*$A$36</f>
        <v>6.5252418117965955E-5</v>
      </c>
      <c r="R11" s="32">
        <f>O11/10^6*C11/$A$28*$A$36</f>
        <v>1.2751082287560582E-3</v>
      </c>
      <c r="S11" s="34"/>
      <c r="T11" s="34"/>
      <c r="U11" s="35"/>
    </row>
    <row r="12" spans="1:22" x14ac:dyDescent="0.2">
      <c r="A12" s="25" t="s">
        <v>50</v>
      </c>
      <c r="B12" s="66"/>
      <c r="C12" s="10"/>
      <c r="D12" s="10"/>
      <c r="E12" s="11"/>
      <c r="F12" s="10"/>
      <c r="G12" s="10"/>
      <c r="H12" s="10"/>
      <c r="I12" s="11"/>
      <c r="J12" s="10"/>
      <c r="K12" s="10"/>
      <c r="L12" s="13"/>
      <c r="M12" s="13"/>
      <c r="N12" s="13"/>
      <c r="O12" s="13"/>
      <c r="P12" s="12"/>
      <c r="Q12" s="12"/>
      <c r="R12" s="12"/>
      <c r="S12" s="12"/>
      <c r="T12" s="12"/>
      <c r="U12" s="24"/>
    </row>
    <row r="13" spans="1:22" x14ac:dyDescent="0.2">
      <c r="A13" s="22" t="s">
        <v>11</v>
      </c>
      <c r="B13" s="63">
        <v>42789</v>
      </c>
      <c r="C13" s="14">
        <v>139</v>
      </c>
      <c r="D13" s="14">
        <v>68.5</v>
      </c>
      <c r="E13" s="16">
        <v>143.26</v>
      </c>
      <c r="F13" s="14">
        <v>3</v>
      </c>
      <c r="G13" s="14">
        <v>64.5</v>
      </c>
      <c r="H13" s="14">
        <v>67.5</v>
      </c>
      <c r="I13" s="16">
        <v>84.96</v>
      </c>
      <c r="J13" s="14">
        <f t="shared" ref="J13:J15" si="2">(E13-F13)-I13</f>
        <v>55.3</v>
      </c>
      <c r="K13" s="14">
        <f>D13-J13</f>
        <v>13.200000000000003</v>
      </c>
      <c r="L13" s="19">
        <v>1.58</v>
      </c>
      <c r="M13" s="19">
        <v>1</v>
      </c>
      <c r="N13" s="19">
        <v>0.15</v>
      </c>
      <c r="O13" s="19">
        <v>0.89600000000000002</v>
      </c>
      <c r="P13" s="17">
        <f>L13/10^6*C13/$A$28*$A$40</f>
        <v>7.294761677544428E-3</v>
      </c>
      <c r="Q13" s="18">
        <f>C13/$A$28*(L13/$A$42+M13/$A$43+N13/$A$44)/10^6*$A$40</f>
        <v>1.149483161577542E-4</v>
      </c>
      <c r="R13" s="17">
        <f>O13/10^6*C13/$A$28*$A$40</f>
        <v>4.1367762424555747E-3</v>
      </c>
      <c r="S13" s="17">
        <f>SUM(P13:P15)</f>
        <v>1.0981668818093702E-2</v>
      </c>
      <c r="T13" s="18">
        <f>SUM(Q13:Q15)</f>
        <v>2.6596477255814901E-4</v>
      </c>
      <c r="U13" s="23">
        <f>SUM(R13:R15)</f>
        <v>6.1277060983521824E-3</v>
      </c>
      <c r="V13" s="52"/>
    </row>
    <row r="14" spans="1:22" x14ac:dyDescent="0.2">
      <c r="A14" s="22" t="s">
        <v>12</v>
      </c>
      <c r="B14" s="63">
        <v>42789</v>
      </c>
      <c r="C14" s="14">
        <f>73+38</f>
        <v>111</v>
      </c>
      <c r="D14" s="14"/>
      <c r="E14" s="16">
        <v>143.33000000000001</v>
      </c>
      <c r="F14" s="14">
        <v>3</v>
      </c>
      <c r="G14" s="14">
        <v>53.13</v>
      </c>
      <c r="H14" s="14">
        <v>63.68</v>
      </c>
      <c r="I14" s="16">
        <v>84.88</v>
      </c>
      <c r="J14" s="14">
        <f t="shared" si="2"/>
        <v>55.450000000000017</v>
      </c>
      <c r="K14" s="15" t="s">
        <v>52</v>
      </c>
      <c r="L14" s="19">
        <v>1</v>
      </c>
      <c r="M14" s="19">
        <v>1.62</v>
      </c>
      <c r="N14" s="19">
        <v>1.02</v>
      </c>
      <c r="O14" s="19">
        <v>0.54</v>
      </c>
      <c r="P14" s="17">
        <f>L14/10^6*C14/$A$28*$A$40</f>
        <v>3.6869071405492737E-3</v>
      </c>
      <c r="Q14" s="18">
        <f>C14/$A$28*(L14/$A$42+M14/$A$43+N14/$A$44)/10^6*$A$40</f>
        <v>1.5101645640039482E-4</v>
      </c>
      <c r="R14" s="17">
        <f>O14/10^6*C14/$A$28*$A$40</f>
        <v>1.9909298558966077E-3</v>
      </c>
      <c r="S14" s="12"/>
      <c r="T14" s="12"/>
      <c r="U14" s="24"/>
    </row>
    <row r="15" spans="1:22" ht="13.5" thickBot="1" x14ac:dyDescent="0.25">
      <c r="A15" s="26" t="s">
        <v>13</v>
      </c>
      <c r="B15" s="69"/>
      <c r="C15" s="27"/>
      <c r="D15" s="27"/>
      <c r="E15" s="28">
        <v>141.13999999999999</v>
      </c>
      <c r="F15" s="27">
        <v>3</v>
      </c>
      <c r="G15" s="27">
        <v>49.26</v>
      </c>
      <c r="H15" s="27">
        <v>64.86</v>
      </c>
      <c r="I15" s="56" t="s">
        <v>52</v>
      </c>
      <c r="J15" s="30" t="s">
        <v>52</v>
      </c>
      <c r="K15" s="30" t="s">
        <v>52</v>
      </c>
      <c r="L15" s="31" t="s">
        <v>52</v>
      </c>
      <c r="M15" s="31" t="s">
        <v>52</v>
      </c>
      <c r="N15" s="31" t="s">
        <v>52</v>
      </c>
      <c r="O15" s="31" t="s">
        <v>52</v>
      </c>
      <c r="P15" s="59" t="s">
        <v>52</v>
      </c>
      <c r="Q15" s="60" t="s">
        <v>52</v>
      </c>
      <c r="R15" s="59" t="s">
        <v>52</v>
      </c>
      <c r="S15" s="34"/>
      <c r="T15" s="34"/>
      <c r="U15" s="35"/>
    </row>
    <row r="16" spans="1:22" x14ac:dyDescent="0.2">
      <c r="L16" s="5"/>
    </row>
    <row r="17" spans="1:12" x14ac:dyDescent="0.2">
      <c r="A17" s="3"/>
      <c r="B17" s="1" t="s">
        <v>14</v>
      </c>
      <c r="L17" s="5"/>
    </row>
    <row r="18" spans="1:12" x14ac:dyDescent="0.2">
      <c r="A18" s="4"/>
      <c r="B18" s="1" t="s">
        <v>51</v>
      </c>
      <c r="L18" s="5"/>
    </row>
    <row r="19" spans="1:12" x14ac:dyDescent="0.2">
      <c r="B19" s="1" t="s">
        <v>15</v>
      </c>
      <c r="L19" s="5"/>
    </row>
    <row r="20" spans="1:12" x14ac:dyDescent="0.2">
      <c r="B20" s="1" t="s">
        <v>17</v>
      </c>
    </row>
    <row r="21" spans="1:12" x14ac:dyDescent="0.2">
      <c r="B21" s="1" t="s">
        <v>18</v>
      </c>
    </row>
    <row r="22" spans="1:12" x14ac:dyDescent="0.2">
      <c r="B22" s="1" t="s">
        <v>46</v>
      </c>
    </row>
    <row r="23" spans="1:12" x14ac:dyDescent="0.2">
      <c r="B23" s="1" t="s">
        <v>54</v>
      </c>
    </row>
    <row r="26" spans="1:12" x14ac:dyDescent="0.2">
      <c r="A26" s="6">
        <f t="shared" ref="A26" si="3">1/619</f>
        <v>1.6155088852988692E-3</v>
      </c>
      <c r="B26" s="1" t="s">
        <v>28</v>
      </c>
      <c r="C26" s="1" t="s">
        <v>29</v>
      </c>
    </row>
    <row r="27" spans="1:12" x14ac:dyDescent="0.2">
      <c r="A27" s="1">
        <v>55</v>
      </c>
      <c r="B27" s="1" t="s">
        <v>27</v>
      </c>
      <c r="C27" s="1" t="s">
        <v>26</v>
      </c>
    </row>
    <row r="28" spans="1:12" x14ac:dyDescent="0.2">
      <c r="A28" s="1">
        <v>250</v>
      </c>
      <c r="B28" s="1" t="s">
        <v>30</v>
      </c>
      <c r="C28" s="1" t="s">
        <v>31</v>
      </c>
    </row>
    <row r="30" spans="1:12" x14ac:dyDescent="0.2">
      <c r="A30" s="9" t="s">
        <v>48</v>
      </c>
    </row>
    <row r="31" spans="1:12" x14ac:dyDescent="0.2">
      <c r="A31" s="1">
        <f>D5-J4</f>
        <v>16.500000000000014</v>
      </c>
      <c r="B31" s="1" t="s">
        <v>30</v>
      </c>
      <c r="C31" s="1" t="s">
        <v>56</v>
      </c>
    </row>
    <row r="32" spans="1:12" x14ac:dyDescent="0.2">
      <c r="A32" s="7">
        <f>$A$27*$A$26*$A$28*A31*28.32</f>
        <v>10379.806138933773</v>
      </c>
      <c r="B32" s="1" t="s">
        <v>34</v>
      </c>
      <c r="C32" s="1" t="s">
        <v>35</v>
      </c>
    </row>
    <row r="34" spans="1:3" x14ac:dyDescent="0.2">
      <c r="A34" s="9" t="s">
        <v>49</v>
      </c>
    </row>
    <row r="35" spans="1:3" x14ac:dyDescent="0.2">
      <c r="A35" s="8">
        <f>AVERAGE(K8:K9)</f>
        <v>18.36</v>
      </c>
      <c r="B35" s="1" t="s">
        <v>30</v>
      </c>
      <c r="C35" s="1" t="s">
        <v>32</v>
      </c>
    </row>
    <row r="36" spans="1:3" x14ac:dyDescent="0.2">
      <c r="A36" s="7">
        <f>$A$27*$A$26*$A$28*A35*28.32</f>
        <v>11549.893376413569</v>
      </c>
      <c r="B36" s="1" t="s">
        <v>34</v>
      </c>
      <c r="C36" s="1" t="s">
        <v>35</v>
      </c>
    </row>
    <row r="38" spans="1:3" x14ac:dyDescent="0.2">
      <c r="A38" s="9" t="s">
        <v>50</v>
      </c>
    </row>
    <row r="39" spans="1:3" x14ac:dyDescent="0.2">
      <c r="A39" s="8">
        <f>K13</f>
        <v>13.200000000000003</v>
      </c>
      <c r="B39" s="1" t="s">
        <v>30</v>
      </c>
      <c r="C39" s="1" t="s">
        <v>32</v>
      </c>
    </row>
    <row r="40" spans="1:3" x14ac:dyDescent="0.2">
      <c r="A40" s="7">
        <f>$A$27*$A$26*$A$28*A39*28.32</f>
        <v>8303.8449111470127</v>
      </c>
      <c r="B40" s="1" t="s">
        <v>34</v>
      </c>
      <c r="C40" s="1" t="s">
        <v>35</v>
      </c>
    </row>
    <row r="41" spans="1:3" x14ac:dyDescent="0.2">
      <c r="A41" s="7"/>
    </row>
    <row r="42" spans="1:3" x14ac:dyDescent="0.2">
      <c r="A42" s="1">
        <v>131</v>
      </c>
      <c r="B42" s="1" t="s">
        <v>40</v>
      </c>
      <c r="C42" s="1" t="s">
        <v>42</v>
      </c>
    </row>
    <row r="43" spans="1:3" x14ac:dyDescent="0.2">
      <c r="A43" s="1">
        <v>96</v>
      </c>
      <c r="B43" s="1" t="s">
        <v>40</v>
      </c>
      <c r="C43" s="1" t="s">
        <v>43</v>
      </c>
    </row>
    <row r="44" spans="1:3" x14ac:dyDescent="0.2">
      <c r="A44" s="1">
        <v>62</v>
      </c>
      <c r="B44" s="1" t="s">
        <v>40</v>
      </c>
      <c r="C44" s="1" t="s">
        <v>44</v>
      </c>
    </row>
  </sheetData>
  <mergeCells count="1">
    <mergeCell ref="S1:U1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workbookViewId="0">
      <pane xSplit="3" ySplit="2" topLeftCell="L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defaultRowHeight="12.75" x14ac:dyDescent="0.2"/>
  <cols>
    <col min="1" max="6" width="9.140625" style="1"/>
    <col min="7" max="9" width="11.85546875" style="1" customWidth="1"/>
    <col min="10" max="13" width="14.28515625" style="1" customWidth="1"/>
    <col min="14" max="15" width="13.42578125" style="1" customWidth="1"/>
    <col min="16" max="16" width="11.5703125" style="1" customWidth="1"/>
    <col min="17" max="17" width="14.85546875" style="1" customWidth="1"/>
    <col min="18" max="18" width="9.140625" style="1"/>
    <col min="19" max="20" width="11.85546875" style="1" customWidth="1"/>
    <col min="21" max="16384" width="9.140625" style="1"/>
  </cols>
  <sheetData>
    <row r="1" spans="1:22" ht="13.5" thickBot="1" x14ac:dyDescent="0.25">
      <c r="A1" s="1" t="s">
        <v>22</v>
      </c>
      <c r="S1" s="48" t="s">
        <v>38</v>
      </c>
      <c r="T1" s="49"/>
      <c r="U1" s="50"/>
    </row>
    <row r="2" spans="1:22" s="2" customFormat="1" ht="51.75" thickBot="1" x14ac:dyDescent="0.25">
      <c r="A2" s="36" t="s">
        <v>0</v>
      </c>
      <c r="B2" s="61" t="s">
        <v>53</v>
      </c>
      <c r="C2" s="37" t="s">
        <v>36</v>
      </c>
      <c r="D2" s="37" t="s">
        <v>47</v>
      </c>
      <c r="E2" s="37" t="s">
        <v>2</v>
      </c>
      <c r="F2" s="37" t="s">
        <v>3</v>
      </c>
      <c r="G2" s="37" t="s">
        <v>16</v>
      </c>
      <c r="H2" s="37" t="s">
        <v>1</v>
      </c>
      <c r="I2" s="37" t="s">
        <v>23</v>
      </c>
      <c r="J2" s="37" t="s">
        <v>24</v>
      </c>
      <c r="K2" s="37" t="s">
        <v>25</v>
      </c>
      <c r="L2" s="37" t="s">
        <v>19</v>
      </c>
      <c r="M2" s="37" t="s">
        <v>41</v>
      </c>
      <c r="N2" s="37" t="s">
        <v>21</v>
      </c>
      <c r="O2" s="37" t="s">
        <v>20</v>
      </c>
      <c r="P2" s="37" t="s">
        <v>33</v>
      </c>
      <c r="Q2" s="37" t="s">
        <v>45</v>
      </c>
      <c r="R2" s="37" t="s">
        <v>37</v>
      </c>
      <c r="S2" s="37" t="s">
        <v>33</v>
      </c>
      <c r="T2" s="37" t="s">
        <v>39</v>
      </c>
      <c r="U2" s="38" t="s">
        <v>37</v>
      </c>
    </row>
    <row r="3" spans="1:22" s="2" customFormat="1" x14ac:dyDescent="0.2">
      <c r="A3" s="39" t="s">
        <v>48</v>
      </c>
      <c r="B3" s="62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1"/>
    </row>
    <row r="4" spans="1:22" x14ac:dyDescent="0.2">
      <c r="A4" s="22" t="s">
        <v>4</v>
      </c>
      <c r="B4" s="63">
        <v>42068</v>
      </c>
      <c r="C4" s="14">
        <v>64</v>
      </c>
      <c r="D4" s="15" t="s">
        <v>52</v>
      </c>
      <c r="E4" s="16">
        <v>147.19999999999999</v>
      </c>
      <c r="F4" s="14">
        <v>3</v>
      </c>
      <c r="G4" s="14">
        <v>52.8</v>
      </c>
      <c r="H4" s="14">
        <v>63.1</v>
      </c>
      <c r="I4" s="16">
        <v>87.51</v>
      </c>
      <c r="J4" s="14">
        <f>(E4-F4)-I4</f>
        <v>56.689999999999984</v>
      </c>
      <c r="K4" s="15" t="s">
        <v>52</v>
      </c>
      <c r="L4" s="14">
        <v>0.98</v>
      </c>
      <c r="M4" s="15" t="s">
        <v>52</v>
      </c>
      <c r="N4" s="14">
        <v>1.1000000000000001</v>
      </c>
      <c r="O4" s="14">
        <v>190</v>
      </c>
      <c r="P4" s="17">
        <f>L4/10^6*C4/$A$28*$A$32</f>
        <v>2.8929025488853006E-3</v>
      </c>
      <c r="Q4" s="18">
        <f>C4/$A$28*(L4/$A$42+M5/$A$43+N4/$A$44)/10^6*$A$32</f>
        <v>6.586947764316949E-4</v>
      </c>
      <c r="R4" s="17">
        <f>O4/10^6*C4/$A$28*$A$32</f>
        <v>0.56086886151857873</v>
      </c>
      <c r="S4" s="17">
        <f>SUM(P4:P6)</f>
        <v>0.13863608177990316</v>
      </c>
      <c r="T4" s="18">
        <f>SUM(Q4:Q6)</f>
        <v>3.1072793588605091E-3</v>
      </c>
      <c r="U4" s="23">
        <f>SUM(R4:R6)</f>
        <v>0.65963897501001667</v>
      </c>
    </row>
    <row r="5" spans="1:22" x14ac:dyDescent="0.2">
      <c r="A5" s="22" t="s">
        <v>5</v>
      </c>
      <c r="B5" s="63">
        <v>42341</v>
      </c>
      <c r="C5" s="14">
        <v>69</v>
      </c>
      <c r="D5" s="14">
        <v>74</v>
      </c>
      <c r="E5" s="16">
        <v>145.38999999999999</v>
      </c>
      <c r="F5" s="14">
        <v>3</v>
      </c>
      <c r="G5" s="14">
        <v>47</v>
      </c>
      <c r="H5" s="14">
        <v>67</v>
      </c>
      <c r="I5" s="53">
        <v>86.72</v>
      </c>
      <c r="J5" s="15">
        <f t="shared" ref="J5:J6" si="0">(E5-F5)-I5</f>
        <v>55.669999999999987</v>
      </c>
      <c r="K5" s="15">
        <f t="shared" ref="K4:K6" si="1">D5-J5</f>
        <v>18.330000000000013</v>
      </c>
      <c r="L5" s="15">
        <v>24</v>
      </c>
      <c r="M5" s="15">
        <v>19</v>
      </c>
      <c r="N5" s="15">
        <v>13</v>
      </c>
      <c r="O5" s="15">
        <v>29</v>
      </c>
      <c r="P5" s="17">
        <f>L5/10^6*C5/$A$28*$A$32</f>
        <v>7.6381483114701179E-2</v>
      </c>
      <c r="Q5" s="18">
        <f>C5/$A$28*(L5/$A$42+M5/$A$43+N5/$A$44)/10^6*$A$32</f>
        <v>1.8802581232300922E-3</v>
      </c>
      <c r="R5" s="17">
        <f>O5/10^6*C5/$A$28*$A$32</f>
        <v>9.2294292096930589E-2</v>
      </c>
      <c r="S5" s="12"/>
      <c r="T5" s="12"/>
      <c r="U5" s="24"/>
    </row>
    <row r="6" spans="1:22" ht="13.5" thickBot="1" x14ac:dyDescent="0.25">
      <c r="A6" s="26" t="s">
        <v>6</v>
      </c>
      <c r="B6" s="64">
        <v>42340</v>
      </c>
      <c r="C6" s="27">
        <v>117</v>
      </c>
      <c r="D6" s="30" t="s">
        <v>52</v>
      </c>
      <c r="E6" s="42">
        <v>145.85</v>
      </c>
      <c r="F6" s="27">
        <v>3</v>
      </c>
      <c r="G6" s="27">
        <v>52.8</v>
      </c>
      <c r="H6" s="27">
        <v>63.1</v>
      </c>
      <c r="I6" s="54">
        <v>86.63</v>
      </c>
      <c r="J6" s="30">
        <f t="shared" si="0"/>
        <v>56.22</v>
      </c>
      <c r="K6" s="30" t="s">
        <v>52</v>
      </c>
      <c r="L6" s="27">
        <v>11</v>
      </c>
      <c r="M6" s="27">
        <v>1.6</v>
      </c>
      <c r="N6" s="27">
        <v>0.28999999999999998</v>
      </c>
      <c r="O6" s="27">
        <v>1.2</v>
      </c>
      <c r="P6" s="32">
        <f>L6/10^6*C6/$A$28*$A$32</f>
        <v>5.936169611631667E-2</v>
      </c>
      <c r="Q6" s="51">
        <f>C6/$A$28*(L6/$A$42+M6/$A$43+N6/$A$44)/10^6*$A$32</f>
        <v>5.683264591987222E-4</v>
      </c>
      <c r="R6" s="32">
        <f>O6/10^6*C6/$A$28*$A$32</f>
        <v>6.4758213945072729E-3</v>
      </c>
      <c r="S6" s="34"/>
      <c r="T6" s="34"/>
      <c r="U6" s="35"/>
    </row>
    <row r="7" spans="1:22" x14ac:dyDescent="0.2">
      <c r="A7" s="43" t="s">
        <v>49</v>
      </c>
      <c r="B7" s="65"/>
      <c r="C7" s="44"/>
      <c r="D7" s="44"/>
      <c r="E7" s="45"/>
      <c r="F7" s="44"/>
      <c r="G7" s="44"/>
      <c r="H7" s="44"/>
      <c r="I7" s="45"/>
      <c r="J7" s="44"/>
      <c r="K7" s="44"/>
      <c r="L7" s="44"/>
      <c r="M7" s="44"/>
      <c r="N7" s="44"/>
      <c r="O7" s="44"/>
      <c r="P7" s="46"/>
      <c r="Q7" s="46"/>
      <c r="R7" s="46"/>
      <c r="S7" s="46"/>
      <c r="T7" s="46"/>
      <c r="U7" s="47"/>
    </row>
    <row r="8" spans="1:22" x14ac:dyDescent="0.2">
      <c r="A8" s="22" t="s">
        <v>7</v>
      </c>
      <c r="B8" s="63">
        <v>42068</v>
      </c>
      <c r="C8" s="14">
        <v>112</v>
      </c>
      <c r="D8" s="14">
        <v>75</v>
      </c>
      <c r="E8" s="16">
        <v>145.38</v>
      </c>
      <c r="F8" s="14">
        <v>3</v>
      </c>
      <c r="G8" s="14">
        <v>54.2</v>
      </c>
      <c r="H8" s="14">
        <v>64.2</v>
      </c>
      <c r="I8" s="16">
        <v>86.19</v>
      </c>
      <c r="J8" s="14">
        <f t="shared" ref="J8:J11" si="2">(E8-F8)-I8</f>
        <v>56.19</v>
      </c>
      <c r="K8" s="14">
        <f t="shared" ref="K8:K10" si="3">D8-J8</f>
        <v>18.810000000000002</v>
      </c>
      <c r="L8" s="19">
        <v>0.05</v>
      </c>
      <c r="M8" s="67" t="s">
        <v>52</v>
      </c>
      <c r="N8" s="19">
        <v>0.06</v>
      </c>
      <c r="O8" s="19">
        <v>0.03</v>
      </c>
      <c r="P8" s="17">
        <f>L8/10^6*C8/$A$28*$A$36</f>
        <v>2.6505872956381266E-4</v>
      </c>
      <c r="Q8" s="18">
        <f>C8/$A$28*(L8/$A$42+M10/$A$43+N8/$A$44)/10^6*$A$32</f>
        <v>2.1145441122035976E-4</v>
      </c>
      <c r="R8" s="17">
        <f>O8/10^6*C8/$A$28*$A$36</f>
        <v>1.5903523773828758E-4</v>
      </c>
      <c r="S8" s="17">
        <f>SUM(P8:P11)</f>
        <v>5.4412770626171239E-2</v>
      </c>
      <c r="T8" s="18">
        <f>SUM(Q8:Q11)</f>
        <v>7.0407335243502706E-4</v>
      </c>
      <c r="U8" s="23">
        <f>SUM(R8:R11)</f>
        <v>4.3242438451696289E-3</v>
      </c>
    </row>
    <row r="9" spans="1:22" x14ac:dyDescent="0.2">
      <c r="A9" s="22" t="s">
        <v>8</v>
      </c>
      <c r="B9" s="68" t="s">
        <v>52</v>
      </c>
      <c r="C9" s="14">
        <v>25</v>
      </c>
      <c r="D9" s="14">
        <v>71.5</v>
      </c>
      <c r="E9" s="20">
        <v>143.28</v>
      </c>
      <c r="F9" s="14">
        <v>3</v>
      </c>
      <c r="G9" s="14">
        <v>53</v>
      </c>
      <c r="H9" s="14">
        <v>68</v>
      </c>
      <c r="I9" s="55" t="s">
        <v>52</v>
      </c>
      <c r="J9" s="53" t="s">
        <v>52</v>
      </c>
      <c r="K9" s="53" t="s">
        <v>52</v>
      </c>
      <c r="L9" s="67" t="s">
        <v>52</v>
      </c>
      <c r="M9" s="67" t="s">
        <v>52</v>
      </c>
      <c r="N9" s="67" t="s">
        <v>52</v>
      </c>
      <c r="O9" s="67" t="s">
        <v>52</v>
      </c>
      <c r="P9" s="57" t="s">
        <v>52</v>
      </c>
      <c r="Q9" s="58" t="s">
        <v>52</v>
      </c>
      <c r="R9" s="57" t="s">
        <v>52</v>
      </c>
      <c r="S9" s="12"/>
      <c r="T9" s="12"/>
      <c r="U9" s="24"/>
    </row>
    <row r="10" spans="1:22" x14ac:dyDescent="0.2">
      <c r="A10" s="22" t="s">
        <v>9</v>
      </c>
      <c r="B10" s="63">
        <v>42341</v>
      </c>
      <c r="C10" s="14">
        <v>44</v>
      </c>
      <c r="D10" s="14"/>
      <c r="E10" s="16">
        <v>143.28</v>
      </c>
      <c r="F10" s="14">
        <v>3</v>
      </c>
      <c r="G10" s="14">
        <v>54</v>
      </c>
      <c r="H10" s="14">
        <v>69</v>
      </c>
      <c r="I10" s="16">
        <v>86.29</v>
      </c>
      <c r="J10" s="14">
        <f t="shared" si="2"/>
        <v>53.989999999999995</v>
      </c>
      <c r="K10" s="15" t="s">
        <v>52</v>
      </c>
      <c r="L10" s="19">
        <v>26</v>
      </c>
      <c r="M10" s="19">
        <v>3.8</v>
      </c>
      <c r="N10" s="19">
        <v>0.28999999999999998</v>
      </c>
      <c r="O10" s="19">
        <v>2</v>
      </c>
      <c r="P10" s="17">
        <f>L10/10^6*C10/$A$28*$A$36</f>
        <v>5.4147711896607428E-2</v>
      </c>
      <c r="Q10" s="18">
        <f>C10/$A$28*(L10/$A$42+M10/$A$43+N10/$A$44)/10^6*$A$32</f>
        <v>4.926189412146673E-4</v>
      </c>
      <c r="R10" s="17">
        <f>O10/10^6*C10/$A$28*$A$36</f>
        <v>4.1652086074313414E-3</v>
      </c>
      <c r="S10" s="12"/>
      <c r="T10" s="12"/>
      <c r="U10" s="24"/>
    </row>
    <row r="11" spans="1:22" ht="13.5" thickBot="1" x14ac:dyDescent="0.25">
      <c r="A11" s="26" t="s">
        <v>10</v>
      </c>
      <c r="B11" s="69" t="s">
        <v>52</v>
      </c>
      <c r="C11" s="27">
        <v>69</v>
      </c>
      <c r="D11" s="27"/>
      <c r="E11" s="42">
        <v>143.52000000000001</v>
      </c>
      <c r="F11" s="27">
        <v>3</v>
      </c>
      <c r="G11" s="27">
        <v>53.13</v>
      </c>
      <c r="H11" s="27">
        <v>63.68</v>
      </c>
      <c r="I11" s="54">
        <v>86.23</v>
      </c>
      <c r="J11" s="30">
        <f>(E11-F11)-I11</f>
        <v>54.290000000000006</v>
      </c>
      <c r="K11" s="30" t="s">
        <v>52</v>
      </c>
      <c r="L11" s="31" t="s">
        <v>52</v>
      </c>
      <c r="M11" s="31" t="s">
        <v>52</v>
      </c>
      <c r="N11" s="31" t="s">
        <v>52</v>
      </c>
      <c r="O11" s="31" t="s">
        <v>52</v>
      </c>
      <c r="P11" s="59" t="s">
        <v>52</v>
      </c>
      <c r="Q11" s="60" t="s">
        <v>52</v>
      </c>
      <c r="R11" s="59" t="s">
        <v>52</v>
      </c>
      <c r="S11" s="34"/>
      <c r="T11" s="34"/>
      <c r="U11" s="35"/>
    </row>
    <row r="12" spans="1:22" x14ac:dyDescent="0.2">
      <c r="A12" s="25" t="s">
        <v>50</v>
      </c>
      <c r="B12" s="66"/>
      <c r="C12" s="10"/>
      <c r="D12" s="10"/>
      <c r="E12" s="11"/>
      <c r="F12" s="10"/>
      <c r="G12" s="10"/>
      <c r="H12" s="10"/>
      <c r="I12" s="11"/>
      <c r="J12" s="10"/>
      <c r="K12" s="10"/>
      <c r="L12" s="13"/>
      <c r="M12" s="13"/>
      <c r="N12" s="13"/>
      <c r="O12" s="13"/>
      <c r="P12" s="12"/>
      <c r="Q12" s="12"/>
      <c r="R12" s="12"/>
      <c r="S12" s="12"/>
      <c r="T12" s="12"/>
      <c r="U12" s="24"/>
    </row>
    <row r="13" spans="1:22" x14ac:dyDescent="0.2">
      <c r="A13" s="22" t="s">
        <v>11</v>
      </c>
      <c r="B13" s="63">
        <v>42341</v>
      </c>
      <c r="C13" s="14">
        <v>139</v>
      </c>
      <c r="D13" s="14">
        <v>68.5</v>
      </c>
      <c r="E13" s="16">
        <v>143.26</v>
      </c>
      <c r="F13" s="14">
        <v>3</v>
      </c>
      <c r="G13" s="14">
        <v>64.5</v>
      </c>
      <c r="H13" s="14">
        <v>67.5</v>
      </c>
      <c r="I13" s="16">
        <v>85.96</v>
      </c>
      <c r="J13" s="14">
        <f t="shared" ref="J13:J15" si="4">(E13-F13)-I13</f>
        <v>54.3</v>
      </c>
      <c r="K13" s="14">
        <f>D13-J13</f>
        <v>14.200000000000003</v>
      </c>
      <c r="L13" s="19">
        <v>1.2</v>
      </c>
      <c r="M13" s="67" t="s">
        <v>52</v>
      </c>
      <c r="N13" s="67" t="s">
        <v>52</v>
      </c>
      <c r="O13" s="19">
        <v>1.2</v>
      </c>
      <c r="P13" s="17">
        <f>L13/10^6*C13/$A$28*$A$40</f>
        <v>5.9600469402261713E-3</v>
      </c>
      <c r="Q13" s="18">
        <f>C13/$A$28*(L13/$A$42+M14/$A$43+N14/$A$44)/10^6*$A$32</f>
        <v>1.0274168461906955E-4</v>
      </c>
      <c r="R13" s="17">
        <f>O13/10^6*C13/$A$28*$A$40</f>
        <v>5.9600469402261713E-3</v>
      </c>
      <c r="S13" s="17">
        <f>SUM(P13:P15)</f>
        <v>6.9119393292407108E-3</v>
      </c>
      <c r="T13" s="18">
        <f>SUM(Q13:Q15)</f>
        <v>1.3723580742147423E-4</v>
      </c>
      <c r="U13" s="23">
        <f>SUM(R13:R15)</f>
        <v>6.475655317609047E-3</v>
      </c>
      <c r="V13" s="52"/>
    </row>
    <row r="14" spans="1:22" x14ac:dyDescent="0.2">
      <c r="A14" s="22" t="s">
        <v>12</v>
      </c>
      <c r="B14" s="63">
        <v>42341</v>
      </c>
      <c r="C14" s="14">
        <f>73+38</f>
        <v>111</v>
      </c>
      <c r="D14" s="14"/>
      <c r="E14" s="16">
        <v>143.33000000000001</v>
      </c>
      <c r="F14" s="14">
        <v>3</v>
      </c>
      <c r="G14" s="14">
        <v>53.13</v>
      </c>
      <c r="H14" s="14">
        <v>63.68</v>
      </c>
      <c r="I14" s="16">
        <v>85.84</v>
      </c>
      <c r="J14" s="14">
        <f t="shared" si="4"/>
        <v>54.490000000000009</v>
      </c>
      <c r="K14" s="15" t="s">
        <v>52</v>
      </c>
      <c r="L14" s="19">
        <v>0.24</v>
      </c>
      <c r="M14" s="19">
        <v>0.21</v>
      </c>
      <c r="N14" s="19">
        <v>0.28999999999999998</v>
      </c>
      <c r="O14" s="19">
        <v>0.13</v>
      </c>
      <c r="P14" s="17">
        <f>L14/10^6*C14/$A$28*$A$40</f>
        <v>9.5189238901453974E-4</v>
      </c>
      <c r="Q14" s="18">
        <f>C14/$A$28*(L14/$A$42+M14/$A$43+N14/$A$44)/10^6*$A$40</f>
        <v>3.4494122802404691E-5</v>
      </c>
      <c r="R14" s="17">
        <f>O14/10^6*C14/$A$28*$A$40</f>
        <v>5.1560837738287568E-4</v>
      </c>
      <c r="S14" s="12"/>
      <c r="T14" s="12"/>
      <c r="U14" s="24"/>
    </row>
    <row r="15" spans="1:22" ht="13.5" thickBot="1" x14ac:dyDescent="0.25">
      <c r="A15" s="26" t="s">
        <v>13</v>
      </c>
      <c r="B15" s="69" t="s">
        <v>52</v>
      </c>
      <c r="C15" s="27"/>
      <c r="D15" s="27"/>
      <c r="E15" s="28">
        <v>141.13999999999999</v>
      </c>
      <c r="F15" s="27">
        <v>3</v>
      </c>
      <c r="G15" s="27">
        <v>49.26</v>
      </c>
      <c r="H15" s="27">
        <v>64.86</v>
      </c>
      <c r="I15" s="56"/>
      <c r="J15" s="30" t="s">
        <v>52</v>
      </c>
      <c r="K15" s="30" t="s">
        <v>52</v>
      </c>
      <c r="L15" s="31" t="s">
        <v>52</v>
      </c>
      <c r="M15" s="31" t="s">
        <v>52</v>
      </c>
      <c r="N15" s="31" t="s">
        <v>52</v>
      </c>
      <c r="O15" s="31" t="s">
        <v>52</v>
      </c>
      <c r="P15" s="59" t="s">
        <v>52</v>
      </c>
      <c r="Q15" s="60" t="s">
        <v>52</v>
      </c>
      <c r="R15" s="59" t="s">
        <v>52</v>
      </c>
      <c r="S15" s="34"/>
      <c r="T15" s="34"/>
      <c r="U15" s="35"/>
    </row>
    <row r="16" spans="1:22" x14ac:dyDescent="0.2">
      <c r="L16" s="5"/>
    </row>
    <row r="17" spans="1:12" x14ac:dyDescent="0.2">
      <c r="A17" s="3"/>
      <c r="B17" s="1" t="s">
        <v>14</v>
      </c>
      <c r="L17" s="5"/>
    </row>
    <row r="18" spans="1:12" x14ac:dyDescent="0.2">
      <c r="A18" s="4"/>
      <c r="B18" s="1" t="s">
        <v>51</v>
      </c>
      <c r="L18" s="5"/>
    </row>
    <row r="19" spans="1:12" x14ac:dyDescent="0.2">
      <c r="B19" s="1" t="s">
        <v>15</v>
      </c>
      <c r="L19" s="5"/>
    </row>
    <row r="20" spans="1:12" x14ac:dyDescent="0.2">
      <c r="B20" s="1" t="s">
        <v>17</v>
      </c>
    </row>
    <row r="21" spans="1:12" x14ac:dyDescent="0.2">
      <c r="B21" s="1" t="s">
        <v>18</v>
      </c>
    </row>
    <row r="22" spans="1:12" x14ac:dyDescent="0.2">
      <c r="B22" s="1" t="s">
        <v>46</v>
      </c>
    </row>
    <row r="23" spans="1:12" x14ac:dyDescent="0.2">
      <c r="B23" s="1" t="s">
        <v>55</v>
      </c>
    </row>
    <row r="26" spans="1:12" x14ac:dyDescent="0.2">
      <c r="A26" s="6">
        <f t="shared" ref="A26" si="5">1/619</f>
        <v>1.6155088852988692E-3</v>
      </c>
      <c r="B26" s="1" t="s">
        <v>28</v>
      </c>
      <c r="C26" s="1" t="s">
        <v>29</v>
      </c>
    </row>
    <row r="27" spans="1:12" x14ac:dyDescent="0.2">
      <c r="A27" s="1">
        <v>55</v>
      </c>
      <c r="B27" s="1" t="s">
        <v>27</v>
      </c>
      <c r="C27" s="1" t="s">
        <v>26</v>
      </c>
    </row>
    <row r="28" spans="1:12" x14ac:dyDescent="0.2">
      <c r="A28" s="1">
        <v>250</v>
      </c>
      <c r="B28" s="1" t="s">
        <v>30</v>
      </c>
      <c r="C28" s="1" t="s">
        <v>31</v>
      </c>
    </row>
    <row r="30" spans="1:12" x14ac:dyDescent="0.2">
      <c r="A30" s="9" t="s">
        <v>48</v>
      </c>
    </row>
    <row r="31" spans="1:12" x14ac:dyDescent="0.2">
      <c r="A31" s="1">
        <f>MAX(K4:K6)</f>
        <v>18.330000000000013</v>
      </c>
      <c r="B31" s="1" t="s">
        <v>30</v>
      </c>
      <c r="C31" s="1" t="s">
        <v>32</v>
      </c>
    </row>
    <row r="32" spans="1:12" x14ac:dyDescent="0.2">
      <c r="A32" s="7">
        <f>$A$27*$A$26*$A$28*A31*28.32</f>
        <v>11531.021001615516</v>
      </c>
      <c r="B32" s="1" t="s">
        <v>34</v>
      </c>
      <c r="C32" s="1" t="s">
        <v>35</v>
      </c>
    </row>
    <row r="34" spans="1:3" x14ac:dyDescent="0.2">
      <c r="A34" s="9" t="s">
        <v>49</v>
      </c>
    </row>
    <row r="35" spans="1:3" x14ac:dyDescent="0.2">
      <c r="A35" s="8">
        <f>AVERAGE(K8:K9)</f>
        <v>18.810000000000002</v>
      </c>
      <c r="B35" s="1" t="s">
        <v>30</v>
      </c>
      <c r="C35" s="1" t="s">
        <v>32</v>
      </c>
    </row>
    <row r="36" spans="1:3" x14ac:dyDescent="0.2">
      <c r="A36" s="7">
        <f>$A$27*$A$26*$A$28*A35*28.32</f>
        <v>11832.978998384493</v>
      </c>
      <c r="B36" s="1" t="s">
        <v>34</v>
      </c>
      <c r="C36" s="1" t="s">
        <v>35</v>
      </c>
    </row>
    <row r="38" spans="1:3" x14ac:dyDescent="0.2">
      <c r="A38" s="9" t="s">
        <v>50</v>
      </c>
    </row>
    <row r="39" spans="1:3" x14ac:dyDescent="0.2">
      <c r="A39" s="8">
        <f>K13</f>
        <v>14.200000000000003</v>
      </c>
      <c r="B39" s="1" t="s">
        <v>30</v>
      </c>
      <c r="C39" s="1" t="s">
        <v>32</v>
      </c>
    </row>
    <row r="40" spans="1:3" x14ac:dyDescent="0.2">
      <c r="A40" s="7">
        <f>$A$27*$A$26*$A$28*A39*28.32</f>
        <v>8932.9240710823924</v>
      </c>
      <c r="B40" s="1" t="s">
        <v>34</v>
      </c>
      <c r="C40" s="1" t="s">
        <v>35</v>
      </c>
    </row>
    <row r="41" spans="1:3" x14ac:dyDescent="0.2">
      <c r="A41" s="7"/>
    </row>
    <row r="42" spans="1:3" x14ac:dyDescent="0.2">
      <c r="A42" s="1">
        <v>131</v>
      </c>
      <c r="B42" s="1" t="s">
        <v>40</v>
      </c>
      <c r="C42" s="1" t="s">
        <v>42</v>
      </c>
    </row>
    <row r="43" spans="1:3" x14ac:dyDescent="0.2">
      <c r="A43" s="1">
        <v>96</v>
      </c>
      <c r="B43" s="1" t="s">
        <v>40</v>
      </c>
      <c r="C43" s="1" t="s">
        <v>43</v>
      </c>
    </row>
    <row r="44" spans="1:3" x14ac:dyDescent="0.2">
      <c r="A44" s="1">
        <v>62</v>
      </c>
      <c r="B44" s="1" t="s">
        <v>40</v>
      </c>
      <c r="C44" s="1" t="s">
        <v>44</v>
      </c>
    </row>
  </sheetData>
  <mergeCells count="1">
    <mergeCell ref="S1:U1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Q20-4</vt:lpstr>
      <vt:lpstr>2017</vt:lpstr>
      <vt:lpstr>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2020-12-09T18:30:27Z</dcterms:modified>
</cp:coreProperties>
</file>